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hidePivotFieldList="1" defaultThemeVersion="124226"/>
  <bookViews>
    <workbookView xWindow="240" yWindow="396" windowWidth="9612" windowHeight="9048" tabRatio="813"/>
  </bookViews>
  <sheets>
    <sheet name="Self-Certification Submittals" sheetId="9" r:id="rId1"/>
  </sheets>
  <definedNames>
    <definedName name="_xlnm._FilterDatabase" localSheetId="0" hidden="1">'Self-Certification Submittals'!$A$2:$AL$381</definedName>
    <definedName name="Z_0CF3896A_F0A5_4EE7_A12C_C8B84E030EC0_.wvu.FilterData" localSheetId="0" hidden="1">'Self-Certification Submittals'!$A$2:$F$381</definedName>
    <definedName name="Z_0CF3896A_F0A5_4EE7_A12C_C8B84E030EC0_.wvu.PrintArea" localSheetId="0" hidden="1">'Self-Certification Submittals'!$A$1:$E$381</definedName>
    <definedName name="Z_0CF3896A_F0A5_4EE7_A12C_C8B84E030EC0_.wvu.Rows" localSheetId="0" hidden="1">'Self-Certification Submittals'!#REF!</definedName>
    <definedName name="Z_2A4E9C14_509F_4D56_96F9_BD74B92AB67D_.wvu.Cols" localSheetId="0" hidden="1">'Self-Certification Submittals'!#REF!,'Self-Certification Submittals'!$H:$I,'Self-Certification Submittals'!$L:$M,'Self-Certification Submittals'!$N:$R,'Self-Certification Submittals'!#REF!,'Self-Certification Submittals'!$Z:$AG,'Self-Certification Submittals'!$AJ:$AJ,'Self-Certification Submittals'!#REF!</definedName>
    <definedName name="Z_2A4E9C14_509F_4D56_96F9_BD74B92AB67D_.wvu.FilterData" localSheetId="0" hidden="1">'Self-Certification Submittals'!$A$2:$F$381</definedName>
    <definedName name="Z_2A4E9C14_509F_4D56_96F9_BD74B92AB67D_.wvu.PrintArea" localSheetId="0" hidden="1">'Self-Certification Submittals'!$A$1:$E$381</definedName>
    <definedName name="Z_2A4E9C14_509F_4D56_96F9_BD74B92AB67D_.wvu.Rows" localSheetId="0" hidden="1">'Self-Certification Submittals'!#REF!</definedName>
    <definedName name="Z_6806824A_40B9_4743_A825_4940E5CACC62_.wvu.FilterData" localSheetId="0" hidden="1">'Self-Certification Submittals'!$A$2:$F$381</definedName>
    <definedName name="Z_6806824A_40B9_4743_A825_4940E5CACC62_.wvu.PrintArea" localSheetId="0" hidden="1">'Self-Certification Submittals'!$A$1:$E$381</definedName>
    <definedName name="Z_6806824A_40B9_4743_A825_4940E5CACC62_.wvu.Rows" localSheetId="0" hidden="1">'Self-Certification Submittals'!#REF!</definedName>
    <definedName name="Z_DC70E8E5_0633_4A5D_A643_F1FAEC969184_.wvu.Cols" localSheetId="0" hidden="1">'Self-Certification Submittals'!#REF!,'Self-Certification Submittals'!$H:$V,'Self-Certification Submittals'!$Z:$AJ,'Self-Certification Submittals'!$F:$F</definedName>
    <definedName name="Z_DC70E8E5_0633_4A5D_A643_F1FAEC969184_.wvu.FilterData" localSheetId="0" hidden="1">'Self-Certification Submittals'!$A$2:$F$381</definedName>
    <definedName name="Z_DC70E8E5_0633_4A5D_A643_F1FAEC969184_.wvu.Rows" localSheetId="0" hidden="1">'Self-Certification Submittals'!#REF!</definedName>
  </definedNames>
  <calcPr calcId="145621"/>
  <customWorkbookViews>
    <customWorkbookView name="blanks - no recommendation" guid="{DC70E8E5-0633-4A5D-A643-F1FAEC969184}" xWindow="-26" yWindow="47" windowWidth="1775" windowHeight="619" tabRatio="813" activeSheetId="9"/>
    <customWorkbookView name="MSS do not edit tab - full view" guid="{6806824A-40B9-4743-A825-4940E5CACC62}" xWindow="106" windowWidth="1814" windowHeight="1032" tabRatio="813" activeSheetId="9"/>
    <customWorkbookView name="Mgmt Review, possible info order or reject, select columns" guid="{2A4E9C14-509F-4D56-96F9-BD74B92AB67D}" xWindow="106" windowWidth="1814" windowHeight="1032" tabRatio="813" activeSheetId="9"/>
    <customWorkbookView name="Mgmt review small" guid="{0CF3896A-F0A5-4EE7-A12C-C8B84E030EC0}" maximized="1" windowWidth="1920" windowHeight="867" tabRatio="813" activeSheetId="40"/>
  </customWorkbookViews>
  <fileRecoveryPr repairLoad="1"/>
</workbook>
</file>

<file path=xl/calcChain.xml><?xml version="1.0" encoding="utf-8"?>
<calcChain xmlns="http://schemas.openxmlformats.org/spreadsheetml/2006/main">
  <c r="X366" i="9" l="1"/>
  <c r="X364" i="9" l="1"/>
  <c r="X305" i="9"/>
  <c r="X154" i="9"/>
  <c r="X74" i="9"/>
  <c r="X27" i="9"/>
  <c r="AL74" i="9" l="1"/>
  <c r="AL381" i="9" l="1"/>
  <c r="AK381" i="9"/>
  <c r="X381" i="9"/>
  <c r="AL380" i="9"/>
  <c r="AK380" i="9"/>
  <c r="X380" i="9"/>
  <c r="AL379" i="9"/>
  <c r="AK379" i="9"/>
  <c r="X379" i="9"/>
  <c r="AL378" i="9"/>
  <c r="AK378" i="9"/>
  <c r="X378" i="9"/>
  <c r="AL377" i="9"/>
  <c r="AK377" i="9"/>
  <c r="X377" i="9"/>
  <c r="AL376" i="9"/>
  <c r="AK376" i="9"/>
  <c r="X376" i="9"/>
  <c r="AL375" i="9"/>
  <c r="AK375" i="9"/>
  <c r="X375" i="9"/>
  <c r="AL374" i="9"/>
  <c r="AK374" i="9"/>
  <c r="X374" i="9"/>
  <c r="AL373" i="9"/>
  <c r="AK373" i="9"/>
  <c r="X373" i="9"/>
  <c r="AL372" i="9"/>
  <c r="AK372" i="9"/>
  <c r="X372" i="9"/>
  <c r="AL371" i="9"/>
  <c r="AK371" i="9"/>
  <c r="AH371" i="9"/>
  <c r="X371" i="9"/>
  <c r="AL370" i="9"/>
  <c r="AK370" i="9"/>
  <c r="X370" i="9"/>
  <c r="AL369" i="9"/>
  <c r="AK369" i="9"/>
  <c r="X369" i="9"/>
  <c r="AL368" i="9"/>
  <c r="AK368" i="9"/>
  <c r="X368" i="9"/>
  <c r="AL367" i="9"/>
  <c r="AK367" i="9"/>
  <c r="X367" i="9"/>
  <c r="AL366" i="9"/>
  <c r="AK366" i="9"/>
  <c r="AL365" i="9"/>
  <c r="AK365" i="9"/>
  <c r="X365" i="9"/>
  <c r="AL364" i="9"/>
  <c r="AK364" i="9"/>
  <c r="AL363" i="9"/>
  <c r="AK363" i="9"/>
  <c r="AI363" i="9"/>
  <c r="X363" i="9"/>
  <c r="AK362" i="9"/>
  <c r="X362" i="9"/>
  <c r="AL361" i="9"/>
  <c r="AK361" i="9"/>
  <c r="X361" i="9"/>
  <c r="AL360" i="9"/>
  <c r="AK360" i="9"/>
  <c r="AH360" i="9"/>
  <c r="X360" i="9"/>
  <c r="AL359" i="9"/>
  <c r="AK359" i="9"/>
  <c r="X359" i="9"/>
  <c r="AL358" i="9"/>
  <c r="AK358" i="9"/>
  <c r="X358" i="9"/>
  <c r="AL357" i="9"/>
  <c r="AK357" i="9"/>
  <c r="X357" i="9"/>
  <c r="AL356" i="9"/>
  <c r="AK356" i="9"/>
  <c r="X356" i="9"/>
  <c r="AL355" i="9"/>
  <c r="AK355" i="9"/>
  <c r="X355" i="9"/>
  <c r="AL354" i="9"/>
  <c r="AK354" i="9"/>
  <c r="X354" i="9"/>
  <c r="AL353" i="9"/>
  <c r="AK353" i="9"/>
  <c r="X353" i="9"/>
  <c r="AL352" i="9"/>
  <c r="AK352" i="9"/>
  <c r="AH352" i="9"/>
  <c r="X352" i="9"/>
  <c r="AL351" i="9"/>
  <c r="AK351" i="9"/>
  <c r="X351" i="9"/>
  <c r="AL350" i="9"/>
  <c r="AK350" i="9"/>
  <c r="AI350" i="9"/>
  <c r="X350" i="9"/>
  <c r="AL349" i="9"/>
  <c r="AK349" i="9"/>
  <c r="X349" i="9"/>
  <c r="AK348" i="9"/>
  <c r="X348" i="9"/>
  <c r="AL347" i="9"/>
  <c r="AK347" i="9"/>
  <c r="X347" i="9"/>
  <c r="AL346" i="9"/>
  <c r="AK346" i="9"/>
  <c r="X346" i="9"/>
  <c r="AL345" i="9"/>
  <c r="AK345" i="9"/>
  <c r="AI345" i="9"/>
  <c r="AH345" i="9"/>
  <c r="X345" i="9"/>
  <c r="AL344" i="9"/>
  <c r="AK344" i="9"/>
  <c r="X344" i="9"/>
  <c r="AL343" i="9"/>
  <c r="AK343" i="9"/>
  <c r="X343" i="9"/>
  <c r="AL342" i="9"/>
  <c r="AK342" i="9"/>
  <c r="X342" i="9"/>
  <c r="AL341" i="9"/>
  <c r="AK341" i="9"/>
  <c r="X341" i="9"/>
  <c r="AL340" i="9"/>
  <c r="AK340" i="9"/>
  <c r="X340" i="9"/>
  <c r="AL339" i="9"/>
  <c r="AK339" i="9"/>
  <c r="X339" i="9"/>
  <c r="AL338" i="9"/>
  <c r="AK338" i="9"/>
  <c r="X338" i="9"/>
  <c r="AL337" i="9"/>
  <c r="AK337" i="9"/>
  <c r="X337" i="9"/>
  <c r="AL336" i="9"/>
  <c r="AK336" i="9"/>
  <c r="AH336" i="9"/>
  <c r="X336" i="9"/>
  <c r="AL335" i="9"/>
  <c r="AK335" i="9"/>
  <c r="X335" i="9"/>
  <c r="AL334" i="9"/>
  <c r="AK334" i="9"/>
  <c r="X334" i="9"/>
  <c r="AL333" i="9"/>
  <c r="AK333" i="9"/>
  <c r="AH333" i="9"/>
  <c r="X333" i="9"/>
  <c r="AL332" i="9"/>
  <c r="AK332" i="9"/>
  <c r="AI332" i="9"/>
  <c r="X332" i="9"/>
  <c r="AL331" i="9"/>
  <c r="AK331" i="9"/>
  <c r="AH331" i="9"/>
  <c r="X331" i="9"/>
  <c r="AL330" i="9"/>
  <c r="AK330" i="9"/>
  <c r="AI330" i="9"/>
  <c r="X330" i="9"/>
  <c r="AL329" i="9"/>
  <c r="AK329" i="9"/>
  <c r="X329" i="9"/>
  <c r="AL328" i="9"/>
  <c r="AK328" i="9"/>
  <c r="X328" i="9"/>
  <c r="AK327" i="9"/>
  <c r="AI327" i="9"/>
  <c r="AH327" i="9"/>
  <c r="X327" i="9"/>
  <c r="AL326" i="9"/>
  <c r="AK326" i="9"/>
  <c r="X326" i="9"/>
  <c r="AL325" i="9"/>
  <c r="AK325" i="9"/>
  <c r="X325" i="9"/>
  <c r="AL324" i="9"/>
  <c r="AK324" i="9"/>
  <c r="X324" i="9"/>
  <c r="AL323" i="9"/>
  <c r="AK323" i="9"/>
  <c r="X323" i="9"/>
  <c r="AL322" i="9"/>
  <c r="AK322" i="9"/>
  <c r="AI322" i="9"/>
  <c r="X322" i="9"/>
  <c r="AL321" i="9"/>
  <c r="AK321" i="9"/>
  <c r="X321" i="9"/>
  <c r="AL320" i="9"/>
  <c r="AK320" i="9"/>
  <c r="X320" i="9"/>
  <c r="AL319" i="9"/>
  <c r="AK319" i="9"/>
  <c r="X319" i="9"/>
  <c r="AL318" i="9"/>
  <c r="AK318" i="9"/>
  <c r="X318" i="9"/>
  <c r="AL317" i="9"/>
  <c r="AK317" i="9"/>
  <c r="AI317" i="9"/>
  <c r="X317" i="9"/>
  <c r="AL316" i="9"/>
  <c r="AK316" i="9"/>
  <c r="X316" i="9"/>
  <c r="AL315" i="9"/>
  <c r="AK315" i="9"/>
  <c r="AI315" i="9"/>
  <c r="X315" i="9"/>
  <c r="AL314" i="9"/>
  <c r="AK314" i="9"/>
  <c r="X314" i="9"/>
  <c r="AL313" i="9"/>
  <c r="AK313" i="9"/>
  <c r="X313" i="9"/>
  <c r="AL312" i="9"/>
  <c r="AK312" i="9"/>
  <c r="AI312" i="9"/>
  <c r="X312" i="9"/>
  <c r="AL311" i="9"/>
  <c r="AK311" i="9"/>
  <c r="X311" i="9"/>
  <c r="AL310" i="9"/>
  <c r="AK310" i="9"/>
  <c r="X310" i="9"/>
  <c r="AL309" i="9"/>
  <c r="AK309" i="9"/>
  <c r="X309" i="9"/>
  <c r="AL308" i="9"/>
  <c r="AK308" i="9"/>
  <c r="X308" i="9"/>
  <c r="AL307" i="9"/>
  <c r="AK307" i="9"/>
  <c r="X307" i="9"/>
  <c r="AL306" i="9"/>
  <c r="AK306" i="9"/>
  <c r="X306" i="9"/>
  <c r="AL305" i="9"/>
  <c r="AK305" i="9"/>
  <c r="AL304" i="9"/>
  <c r="AK304" i="9"/>
  <c r="X304" i="9"/>
  <c r="AL303" i="9"/>
  <c r="AK303" i="9"/>
  <c r="X303" i="9"/>
  <c r="AL302" i="9"/>
  <c r="AK302" i="9"/>
  <c r="X302" i="9"/>
  <c r="AL301" i="9"/>
  <c r="AK301" i="9"/>
  <c r="X301" i="9"/>
  <c r="AL300" i="9"/>
  <c r="AK300" i="9"/>
  <c r="X300" i="9"/>
  <c r="AL299" i="9"/>
  <c r="AK299" i="9"/>
  <c r="X299" i="9"/>
  <c r="AL298" i="9"/>
  <c r="AK298" i="9"/>
  <c r="AI298" i="9"/>
  <c r="X298" i="9"/>
  <c r="AL297" i="9"/>
  <c r="AK297" i="9"/>
  <c r="X297" i="9"/>
  <c r="AL296" i="9"/>
  <c r="AK296" i="9"/>
  <c r="X296" i="9"/>
  <c r="AL295" i="9"/>
  <c r="AK295" i="9"/>
  <c r="X295" i="9"/>
  <c r="AL294" i="9"/>
  <c r="AK294" i="9"/>
  <c r="X294" i="9"/>
  <c r="AL293" i="9"/>
  <c r="AK293" i="9"/>
  <c r="X293" i="9"/>
  <c r="AL292" i="9"/>
  <c r="AK292" i="9"/>
  <c r="X292" i="9"/>
  <c r="AL291" i="9"/>
  <c r="AK291" i="9"/>
  <c r="X291" i="9"/>
  <c r="AL290" i="9"/>
  <c r="AK290" i="9"/>
  <c r="X290" i="9"/>
  <c r="AL289" i="9"/>
  <c r="AK289" i="9"/>
  <c r="X289" i="9"/>
  <c r="AL288" i="9"/>
  <c r="AK288" i="9"/>
  <c r="X288" i="9"/>
  <c r="AL287" i="9"/>
  <c r="AK287" i="9"/>
  <c r="AI287" i="9"/>
  <c r="X287" i="9"/>
  <c r="AL286" i="9"/>
  <c r="AK286" i="9"/>
  <c r="X286" i="9"/>
  <c r="AL285" i="9"/>
  <c r="AK285" i="9"/>
  <c r="X285" i="9"/>
  <c r="AL284" i="9"/>
  <c r="AK284" i="9"/>
  <c r="X284" i="9"/>
  <c r="AL283" i="9"/>
  <c r="AK283" i="9"/>
  <c r="X283" i="9"/>
  <c r="AL282" i="9"/>
  <c r="AK282" i="9"/>
  <c r="X282" i="9"/>
  <c r="AL281" i="9"/>
  <c r="AK281" i="9"/>
  <c r="X281" i="9"/>
  <c r="AL280" i="9"/>
  <c r="AK280" i="9"/>
  <c r="X280" i="9"/>
  <c r="AL279" i="9"/>
  <c r="AK279" i="9"/>
  <c r="X279" i="9"/>
  <c r="AL278" i="9"/>
  <c r="AK278" i="9"/>
  <c r="X278" i="9"/>
  <c r="AL277" i="9"/>
  <c r="AK277" i="9"/>
  <c r="X277" i="9"/>
  <c r="AL276" i="9"/>
  <c r="AK276" i="9"/>
  <c r="X276" i="9"/>
  <c r="AL275" i="9"/>
  <c r="AK275" i="9"/>
  <c r="X275" i="9"/>
  <c r="AL274" i="9"/>
  <c r="AK274" i="9"/>
  <c r="AI274" i="9"/>
  <c r="X274" i="9"/>
  <c r="AL273" i="9"/>
  <c r="AK273" i="9"/>
  <c r="X273" i="9"/>
  <c r="AL272" i="9"/>
  <c r="AK272" i="9"/>
  <c r="X272" i="9"/>
  <c r="AL271" i="9"/>
  <c r="AK271" i="9"/>
  <c r="X271" i="9"/>
  <c r="AL270" i="9"/>
  <c r="AK270" i="9"/>
  <c r="X270" i="9"/>
  <c r="AL269" i="9"/>
  <c r="AK269" i="9"/>
  <c r="AI269" i="9"/>
  <c r="X269" i="9"/>
  <c r="AL268" i="9"/>
  <c r="AK268" i="9"/>
  <c r="X268" i="9"/>
  <c r="AL267" i="9"/>
  <c r="AK267" i="9"/>
  <c r="X267" i="9"/>
  <c r="AL266" i="9"/>
  <c r="AK266" i="9"/>
  <c r="X266" i="9"/>
  <c r="AL265" i="9"/>
  <c r="AK265" i="9"/>
  <c r="AI265" i="9"/>
  <c r="X265" i="9"/>
  <c r="AL264" i="9"/>
  <c r="AK264" i="9"/>
  <c r="X264" i="9"/>
  <c r="AL263" i="9"/>
  <c r="AK263" i="9"/>
  <c r="X263" i="9"/>
  <c r="AL262" i="9"/>
  <c r="AK262" i="9"/>
  <c r="X262" i="9"/>
  <c r="AL261" i="9"/>
  <c r="AK261" i="9"/>
  <c r="AI261" i="9"/>
  <c r="X261" i="9"/>
  <c r="AL260" i="9"/>
  <c r="AK260" i="9"/>
  <c r="X260" i="9"/>
  <c r="AL259" i="9"/>
  <c r="AK259" i="9"/>
  <c r="X259" i="9"/>
  <c r="AL258" i="9"/>
  <c r="AK258" i="9"/>
  <c r="X258" i="9"/>
  <c r="AL257" i="9"/>
  <c r="AK257" i="9"/>
  <c r="X257" i="9"/>
  <c r="AL256" i="9"/>
  <c r="AK256" i="9"/>
  <c r="X256" i="9"/>
  <c r="AL255" i="9"/>
  <c r="AK255" i="9"/>
  <c r="X255" i="9"/>
  <c r="AL254" i="9"/>
  <c r="AK254" i="9"/>
  <c r="X254" i="9"/>
  <c r="AL253" i="9"/>
  <c r="AK253" i="9"/>
  <c r="X253" i="9"/>
  <c r="AL252" i="9"/>
  <c r="AK252" i="9"/>
  <c r="X252" i="9"/>
  <c r="AL251" i="9"/>
  <c r="AK251" i="9"/>
  <c r="AI251" i="9"/>
  <c r="X251" i="9"/>
  <c r="AK250" i="9"/>
  <c r="AI250" i="9"/>
  <c r="AH250" i="9"/>
  <c r="X250" i="9"/>
  <c r="AL249" i="9"/>
  <c r="AK249" i="9"/>
  <c r="AI249" i="9"/>
  <c r="X249" i="9"/>
  <c r="AL248" i="9"/>
  <c r="AK248" i="9"/>
  <c r="X248" i="9"/>
  <c r="AL247" i="9"/>
  <c r="AK247" i="9"/>
  <c r="X247" i="9"/>
  <c r="AL246" i="9"/>
  <c r="AK246" i="9"/>
  <c r="AI246" i="9"/>
  <c r="X246" i="9"/>
  <c r="AL245" i="9"/>
  <c r="AK245" i="9"/>
  <c r="X245" i="9"/>
  <c r="AL244" i="9"/>
  <c r="AK244" i="9"/>
  <c r="X244" i="9"/>
  <c r="AL243" i="9"/>
  <c r="AK243" i="9"/>
  <c r="X243" i="9"/>
  <c r="AL242" i="9"/>
  <c r="AK242" i="9"/>
  <c r="X242" i="9"/>
  <c r="AL241" i="9"/>
  <c r="AK241" i="9"/>
  <c r="X241" i="9"/>
  <c r="AL240" i="9"/>
  <c r="AK240" i="9"/>
  <c r="X240" i="9"/>
  <c r="AL239" i="9"/>
  <c r="AK239" i="9"/>
  <c r="X239" i="9"/>
  <c r="AL238" i="9"/>
  <c r="AK238" i="9"/>
  <c r="X238" i="9"/>
  <c r="AL237" i="9"/>
  <c r="AK237" i="9"/>
  <c r="X237" i="9"/>
  <c r="AL236" i="9"/>
  <c r="AK236" i="9"/>
  <c r="X236" i="9"/>
  <c r="AL235" i="9"/>
  <c r="AK235" i="9"/>
  <c r="X235" i="9"/>
  <c r="AL234" i="9"/>
  <c r="AK234" i="9"/>
  <c r="X234" i="9"/>
  <c r="AL233" i="9"/>
  <c r="AK233" i="9"/>
  <c r="X233" i="9"/>
  <c r="AL232" i="9"/>
  <c r="AK232" i="9"/>
  <c r="X232" i="9"/>
  <c r="AL231" i="9"/>
  <c r="AK231" i="9"/>
  <c r="X231" i="9"/>
  <c r="AL230" i="9"/>
  <c r="AK230" i="9"/>
  <c r="X230" i="9"/>
  <c r="AL229" i="9"/>
  <c r="AK229" i="9"/>
  <c r="AI229" i="9"/>
  <c r="AH229" i="9"/>
  <c r="X229" i="9"/>
  <c r="AL228" i="9"/>
  <c r="AK228" i="9"/>
  <c r="X228" i="9"/>
  <c r="AL227" i="9"/>
  <c r="AK227" i="9"/>
  <c r="X227" i="9"/>
  <c r="AL226" i="9"/>
  <c r="AK226" i="9"/>
  <c r="X226" i="9"/>
  <c r="AL225" i="9"/>
  <c r="AK225" i="9"/>
  <c r="X225" i="9"/>
  <c r="AL224" i="9"/>
  <c r="AK224" i="9"/>
  <c r="X224" i="9"/>
  <c r="AL223" i="9"/>
  <c r="AK223" i="9"/>
  <c r="X223" i="9"/>
  <c r="AL222" i="9"/>
  <c r="AK222" i="9"/>
  <c r="X222" i="9"/>
  <c r="AL221" i="9"/>
  <c r="AK221" i="9"/>
  <c r="X221" i="9"/>
  <c r="AL220" i="9"/>
  <c r="AK220" i="9"/>
  <c r="X220" i="9"/>
  <c r="AL219" i="9"/>
  <c r="AK219" i="9"/>
  <c r="X219" i="9"/>
  <c r="AL218" i="9"/>
  <c r="AK218" i="9"/>
  <c r="X218" i="9"/>
  <c r="AL217" i="9"/>
  <c r="AK217" i="9"/>
  <c r="X217" i="9"/>
  <c r="AL216" i="9"/>
  <c r="AK216" i="9"/>
  <c r="X216" i="9"/>
  <c r="AL215" i="9"/>
  <c r="AK215" i="9"/>
  <c r="X215" i="9"/>
  <c r="AL214" i="9"/>
  <c r="AK214" i="9"/>
  <c r="X214" i="9"/>
  <c r="AL213" i="9"/>
  <c r="AK213" i="9"/>
  <c r="X213" i="9"/>
  <c r="AL212" i="9"/>
  <c r="AK212" i="9"/>
  <c r="X212" i="9"/>
  <c r="AL211" i="9"/>
  <c r="AK211" i="9"/>
  <c r="X211" i="9"/>
  <c r="AL210" i="9"/>
  <c r="AK210" i="9"/>
  <c r="X210" i="9"/>
  <c r="AL209" i="9"/>
  <c r="AK209" i="9"/>
  <c r="X209" i="9"/>
  <c r="AL208" i="9"/>
  <c r="AK208" i="9"/>
  <c r="X208" i="9"/>
  <c r="AL207" i="9"/>
  <c r="AK207" i="9"/>
  <c r="X207" i="9"/>
  <c r="AL206" i="9"/>
  <c r="AK206" i="9"/>
  <c r="X206" i="9"/>
  <c r="AL205" i="9"/>
  <c r="AK205" i="9"/>
  <c r="X205" i="9"/>
  <c r="AL204" i="9"/>
  <c r="AK204" i="9"/>
  <c r="X204" i="9"/>
  <c r="AL203" i="9"/>
  <c r="AK203" i="9"/>
  <c r="X203" i="9"/>
  <c r="AL202" i="9"/>
  <c r="AK202" i="9"/>
  <c r="X202" i="9"/>
  <c r="AK201" i="9"/>
  <c r="X201" i="9"/>
  <c r="AL200" i="9"/>
  <c r="AK200" i="9"/>
  <c r="X200" i="9"/>
  <c r="AL199" i="9"/>
  <c r="AK199" i="9"/>
  <c r="X199" i="9"/>
  <c r="AL198" i="9"/>
  <c r="AK198" i="9"/>
  <c r="X198" i="9"/>
  <c r="AL197" i="9"/>
  <c r="AK197" i="9"/>
  <c r="X197" i="9"/>
  <c r="AL196" i="9"/>
  <c r="AK196" i="9"/>
  <c r="X196" i="9"/>
  <c r="AL195" i="9"/>
  <c r="AK195" i="9"/>
  <c r="X195" i="9"/>
  <c r="AL194" i="9"/>
  <c r="AK194" i="9"/>
  <c r="X194" i="9"/>
  <c r="AL193" i="9"/>
  <c r="AK193" i="9"/>
  <c r="X193" i="9"/>
  <c r="AL192" i="9"/>
  <c r="AK192" i="9"/>
  <c r="X192" i="9"/>
  <c r="AL191" i="9"/>
  <c r="AK191" i="9"/>
  <c r="X191" i="9"/>
  <c r="AL190" i="9"/>
  <c r="AK190" i="9"/>
  <c r="X190" i="9"/>
  <c r="AL189" i="9"/>
  <c r="AK189" i="9"/>
  <c r="X189" i="9"/>
  <c r="AK188" i="9"/>
  <c r="X188" i="9"/>
  <c r="AL187" i="9"/>
  <c r="AK187" i="9"/>
  <c r="X187" i="9"/>
  <c r="AL186" i="9"/>
  <c r="AK186" i="9"/>
  <c r="X186" i="9"/>
  <c r="AL185" i="9"/>
  <c r="AK185" i="9"/>
  <c r="X185" i="9"/>
  <c r="AL184" i="9"/>
  <c r="AK184" i="9"/>
  <c r="X184" i="9"/>
  <c r="AL183" i="9"/>
  <c r="AK183" i="9"/>
  <c r="X183" i="9"/>
  <c r="AL182" i="9"/>
  <c r="AK182" i="9"/>
  <c r="X182" i="9"/>
  <c r="AL181" i="9"/>
  <c r="AK181" i="9"/>
  <c r="X181" i="9"/>
  <c r="AL180" i="9"/>
  <c r="AK180" i="9"/>
  <c r="X180" i="9"/>
  <c r="AL179" i="9"/>
  <c r="AK179" i="9"/>
  <c r="X179" i="9"/>
  <c r="AL178" i="9"/>
  <c r="AK178" i="9"/>
  <c r="X178" i="9"/>
  <c r="AL177" i="9"/>
  <c r="AK177" i="9"/>
  <c r="X177" i="9"/>
  <c r="AL176" i="9"/>
  <c r="AK176" i="9"/>
  <c r="X176" i="9"/>
  <c r="AL175" i="9"/>
  <c r="AK175" i="9"/>
  <c r="X175" i="9"/>
  <c r="AL174" i="9"/>
  <c r="AK174" i="9"/>
  <c r="X174" i="9"/>
  <c r="AL173" i="9"/>
  <c r="AK173" i="9"/>
  <c r="X173" i="9"/>
  <c r="AL172" i="9"/>
  <c r="AK172" i="9"/>
  <c r="X172" i="9"/>
  <c r="AL171" i="9"/>
  <c r="AK171" i="9"/>
  <c r="X171" i="9"/>
  <c r="AL170" i="9"/>
  <c r="AK170" i="9"/>
  <c r="X170" i="9"/>
  <c r="AL169" i="9"/>
  <c r="AK169" i="9"/>
  <c r="X169" i="9"/>
  <c r="AL168" i="9"/>
  <c r="AK168" i="9"/>
  <c r="X168" i="9"/>
  <c r="AL167" i="9"/>
  <c r="AK167" i="9"/>
  <c r="X167" i="9"/>
  <c r="AL166" i="9"/>
  <c r="AK166" i="9"/>
  <c r="X166" i="9"/>
  <c r="AL165" i="9"/>
  <c r="AK165" i="9"/>
  <c r="X165" i="9"/>
  <c r="AL164" i="9"/>
  <c r="AK164" i="9"/>
  <c r="X164" i="9"/>
  <c r="AL163" i="9"/>
  <c r="AK163" i="9"/>
  <c r="X163" i="9"/>
  <c r="AL162" i="9"/>
  <c r="AK162" i="9"/>
  <c r="X162" i="9"/>
  <c r="AL161" i="9"/>
  <c r="AK161" i="9"/>
  <c r="AI161" i="9"/>
  <c r="X161" i="9"/>
  <c r="AL160" i="9"/>
  <c r="AK160" i="9"/>
  <c r="X160" i="9"/>
  <c r="AL159" i="9"/>
  <c r="AK159" i="9"/>
  <c r="X159" i="9"/>
  <c r="AL158" i="9"/>
  <c r="AK158" i="9"/>
  <c r="X158" i="9"/>
  <c r="AL157" i="9"/>
  <c r="AK157" i="9"/>
  <c r="X157" i="9"/>
  <c r="AL156" i="9"/>
  <c r="AK156" i="9"/>
  <c r="X156" i="9"/>
  <c r="AL155" i="9"/>
  <c r="AK155" i="9"/>
  <c r="X155" i="9"/>
  <c r="AL154" i="9"/>
  <c r="AK154" i="9"/>
  <c r="AL153" i="9"/>
  <c r="AK153" i="9"/>
  <c r="AI153" i="9"/>
  <c r="X153" i="9"/>
  <c r="AK152" i="9"/>
  <c r="AI152" i="9"/>
  <c r="X152" i="9"/>
  <c r="AL151" i="9"/>
  <c r="AK151" i="9"/>
  <c r="X151" i="9"/>
  <c r="AL150" i="9"/>
  <c r="AK150" i="9"/>
  <c r="X150" i="9"/>
  <c r="AL149" i="9"/>
  <c r="AK149" i="9"/>
  <c r="X149" i="9"/>
  <c r="AL148" i="9"/>
  <c r="AK148" i="9"/>
  <c r="X148" i="9"/>
  <c r="AL147" i="9"/>
  <c r="AK147" i="9"/>
  <c r="X147" i="9"/>
  <c r="AL146" i="9"/>
  <c r="AK146" i="9"/>
  <c r="X146" i="9"/>
  <c r="AL145" i="9"/>
  <c r="AK145" i="9"/>
  <c r="X145" i="9"/>
  <c r="AL144" i="9"/>
  <c r="AK144" i="9"/>
  <c r="AI144" i="9"/>
  <c r="X144" i="9"/>
  <c r="AL143" i="9"/>
  <c r="AK143" i="9"/>
  <c r="X143" i="9"/>
  <c r="AL142" i="9"/>
  <c r="AK142" i="9"/>
  <c r="X142" i="9"/>
  <c r="AL141" i="9"/>
  <c r="AK141" i="9"/>
  <c r="X141" i="9"/>
  <c r="AL140" i="9"/>
  <c r="AK140" i="9"/>
  <c r="X140" i="9"/>
  <c r="AL139" i="9"/>
  <c r="AK139" i="9"/>
  <c r="X139" i="9"/>
  <c r="AL138" i="9"/>
  <c r="AK138" i="9"/>
  <c r="X138" i="9"/>
  <c r="AL137" i="9"/>
  <c r="AK137" i="9"/>
  <c r="X137" i="9"/>
  <c r="AK136" i="9"/>
  <c r="X136" i="9"/>
  <c r="AL135" i="9"/>
  <c r="AK135" i="9"/>
  <c r="X135" i="9"/>
  <c r="AL134" i="9"/>
  <c r="AK134" i="9"/>
  <c r="X134" i="9"/>
  <c r="AL133" i="9"/>
  <c r="AK133" i="9"/>
  <c r="X133" i="9"/>
  <c r="AL132" i="9"/>
  <c r="AK132" i="9"/>
  <c r="X132" i="9"/>
  <c r="AL131" i="9"/>
  <c r="AK131" i="9"/>
  <c r="X131" i="9"/>
  <c r="AL130" i="9"/>
  <c r="AK130" i="9"/>
  <c r="X130" i="9"/>
  <c r="AL129" i="9"/>
  <c r="AK129" i="9"/>
  <c r="X129" i="9"/>
  <c r="AL128" i="9"/>
  <c r="AK128" i="9"/>
  <c r="X128" i="9"/>
  <c r="AL127" i="9"/>
  <c r="AK127" i="9"/>
  <c r="X127" i="9"/>
  <c r="AL126" i="9"/>
  <c r="AK126" i="9"/>
  <c r="X126" i="9"/>
  <c r="AL125" i="9"/>
  <c r="AK125" i="9"/>
  <c r="X125" i="9"/>
  <c r="AL124" i="9"/>
  <c r="AK124" i="9"/>
  <c r="X124" i="9"/>
  <c r="AL123" i="9"/>
  <c r="AK123" i="9"/>
  <c r="X123" i="9"/>
  <c r="AL122" i="9"/>
  <c r="AK122" i="9"/>
  <c r="X122" i="9"/>
  <c r="AL121" i="9"/>
  <c r="AK121" i="9"/>
  <c r="X121" i="9"/>
  <c r="AL120" i="9"/>
  <c r="AK120" i="9"/>
  <c r="X120" i="9"/>
  <c r="AL119" i="9"/>
  <c r="AK119" i="9"/>
  <c r="X119" i="9"/>
  <c r="AL118" i="9"/>
  <c r="AK118" i="9"/>
  <c r="X118" i="9"/>
  <c r="AL117" i="9"/>
  <c r="AK117" i="9"/>
  <c r="X117" i="9"/>
  <c r="AL116" i="9"/>
  <c r="AK116" i="9"/>
  <c r="X116" i="9"/>
  <c r="AL115" i="9"/>
  <c r="AK115" i="9"/>
  <c r="X115" i="9"/>
  <c r="AL114" i="9"/>
  <c r="AK114" i="9"/>
  <c r="X114" i="9"/>
  <c r="AL113" i="9"/>
  <c r="AK113" i="9"/>
  <c r="X113" i="9"/>
  <c r="AL112" i="9"/>
  <c r="AK112" i="9"/>
  <c r="X112" i="9"/>
  <c r="AK111" i="9"/>
  <c r="X111" i="9"/>
  <c r="AL110" i="9"/>
  <c r="AK110" i="9"/>
  <c r="X110" i="9"/>
  <c r="AL109" i="9"/>
  <c r="AK109" i="9"/>
  <c r="X109" i="9"/>
  <c r="AL108" i="9"/>
  <c r="AK108" i="9"/>
  <c r="X108" i="9"/>
  <c r="AL107" i="9"/>
  <c r="AK107" i="9"/>
  <c r="X107" i="9"/>
  <c r="AL106" i="9"/>
  <c r="AK106" i="9"/>
  <c r="X106" i="9"/>
  <c r="AL105" i="9"/>
  <c r="AK105" i="9"/>
  <c r="X105" i="9"/>
  <c r="AL104" i="9"/>
  <c r="AK104" i="9"/>
  <c r="X104" i="9"/>
  <c r="AL103" i="9"/>
  <c r="AK103" i="9"/>
  <c r="X103" i="9"/>
  <c r="AL102" i="9"/>
  <c r="AK102" i="9"/>
  <c r="X102" i="9"/>
  <c r="AL101" i="9"/>
  <c r="AK101" i="9"/>
  <c r="X101" i="9"/>
  <c r="AL100" i="9"/>
  <c r="AK100" i="9"/>
  <c r="X100" i="9"/>
  <c r="AL99" i="9"/>
  <c r="AK99" i="9"/>
  <c r="X99" i="9"/>
  <c r="AL98" i="9"/>
  <c r="AK98" i="9"/>
  <c r="X98" i="9"/>
  <c r="AL97" i="9"/>
  <c r="AK97" i="9"/>
  <c r="X97" i="9"/>
  <c r="AL96" i="9"/>
  <c r="AK96" i="9"/>
  <c r="X96" i="9"/>
  <c r="AL95" i="9"/>
  <c r="AK95" i="9"/>
  <c r="X95" i="9"/>
  <c r="AL94" i="9"/>
  <c r="AK94" i="9"/>
  <c r="X94" i="9"/>
  <c r="AL93" i="9"/>
  <c r="AK93" i="9"/>
  <c r="X93" i="9"/>
  <c r="AL92" i="9"/>
  <c r="AK92" i="9"/>
  <c r="X92" i="9"/>
  <c r="AL91" i="9"/>
  <c r="AK91" i="9"/>
  <c r="X91" i="9"/>
  <c r="AL90" i="9"/>
  <c r="AK90" i="9"/>
  <c r="AI90" i="9"/>
  <c r="X90" i="9"/>
  <c r="AL89" i="9"/>
  <c r="AK89" i="9"/>
  <c r="AI89" i="9"/>
  <c r="X89" i="9"/>
  <c r="AL88" i="9"/>
  <c r="AK88" i="9"/>
  <c r="X88" i="9"/>
  <c r="AL87" i="9"/>
  <c r="AK87" i="9"/>
  <c r="X87" i="9"/>
  <c r="AL86" i="9"/>
  <c r="AK86" i="9"/>
  <c r="X86" i="9"/>
  <c r="AL85" i="9"/>
  <c r="AK85" i="9"/>
  <c r="X85" i="9"/>
  <c r="AL84" i="9"/>
  <c r="AK84" i="9"/>
  <c r="X84" i="9"/>
  <c r="AL83" i="9"/>
  <c r="AK83" i="9"/>
  <c r="X83" i="9"/>
  <c r="AL82" i="9"/>
  <c r="AK82" i="9"/>
  <c r="AI82" i="9"/>
  <c r="X82" i="9"/>
  <c r="AL81" i="9"/>
  <c r="AK81" i="9"/>
  <c r="AI81" i="9"/>
  <c r="X81" i="9"/>
  <c r="AL80" i="9"/>
  <c r="AK80" i="9"/>
  <c r="X80" i="9"/>
  <c r="AL79" i="9"/>
  <c r="AK79" i="9"/>
  <c r="X79" i="9"/>
  <c r="AL78" i="9"/>
  <c r="AK78" i="9"/>
  <c r="X78" i="9"/>
  <c r="AL77" i="9"/>
  <c r="AK77" i="9"/>
  <c r="X77" i="9"/>
  <c r="AL76" i="9"/>
  <c r="AK76" i="9"/>
  <c r="X76" i="9"/>
  <c r="AL75" i="9"/>
  <c r="AK75" i="9"/>
  <c r="X75" i="9"/>
  <c r="AK74" i="9"/>
  <c r="AL73" i="9"/>
  <c r="AK73" i="9"/>
  <c r="X73" i="9"/>
  <c r="AL72" i="9"/>
  <c r="AK72" i="9"/>
  <c r="X72" i="9"/>
  <c r="AL71" i="9"/>
  <c r="AK71" i="9"/>
  <c r="AI71" i="9"/>
  <c r="X71" i="9"/>
  <c r="AL70" i="9"/>
  <c r="AK70" i="9"/>
  <c r="X70" i="9"/>
  <c r="AL69" i="9"/>
  <c r="AK69" i="9"/>
  <c r="X69" i="9"/>
  <c r="AL68" i="9"/>
  <c r="AK68" i="9"/>
  <c r="X68" i="9"/>
  <c r="AL67" i="9"/>
  <c r="AK67" i="9"/>
  <c r="X67" i="9"/>
  <c r="AL66" i="9"/>
  <c r="AK66" i="9"/>
  <c r="X66" i="9"/>
  <c r="AL65" i="9"/>
  <c r="AK65" i="9"/>
  <c r="X65" i="9"/>
  <c r="AL64" i="9"/>
  <c r="AK64" i="9"/>
  <c r="X64" i="9"/>
  <c r="AL63" i="9"/>
  <c r="AK63" i="9"/>
  <c r="AI63" i="9"/>
  <c r="X63" i="9"/>
  <c r="AL62" i="9"/>
  <c r="AK62" i="9"/>
  <c r="X62" i="9"/>
  <c r="AL61" i="9"/>
  <c r="AK61" i="9"/>
  <c r="X61" i="9"/>
  <c r="AL60" i="9"/>
  <c r="AK60" i="9"/>
  <c r="X60" i="9"/>
  <c r="AL59" i="9"/>
  <c r="AK59" i="9"/>
  <c r="X59" i="9"/>
  <c r="AL58" i="9"/>
  <c r="AK58" i="9"/>
  <c r="X58" i="9"/>
  <c r="AL57" i="9"/>
  <c r="AK57" i="9"/>
  <c r="X57" i="9"/>
  <c r="AL56" i="9"/>
  <c r="AK56" i="9"/>
  <c r="AH56" i="9"/>
  <c r="X56" i="9"/>
  <c r="AL55" i="9"/>
  <c r="AK55" i="9"/>
  <c r="X55" i="9"/>
  <c r="AL54" i="9"/>
  <c r="AK54" i="9"/>
  <c r="X54" i="9"/>
  <c r="AL53" i="9"/>
  <c r="AK53" i="9"/>
  <c r="X53" i="9"/>
  <c r="AL52" i="9"/>
  <c r="AK52" i="9"/>
  <c r="AH52" i="9"/>
  <c r="X52" i="9"/>
  <c r="AL51" i="9"/>
  <c r="AK51" i="9"/>
  <c r="X51" i="9"/>
  <c r="AL50" i="9"/>
  <c r="AK50" i="9"/>
  <c r="X50" i="9"/>
  <c r="AL49" i="9"/>
  <c r="AK49" i="9"/>
  <c r="X49" i="9"/>
  <c r="AL48" i="9"/>
  <c r="AK48" i="9"/>
  <c r="X48" i="9"/>
  <c r="AL47" i="9"/>
  <c r="AK47" i="9"/>
  <c r="X47" i="9"/>
  <c r="AL46" i="9"/>
  <c r="AK46" i="9"/>
  <c r="X46" i="9"/>
  <c r="AL45" i="9"/>
  <c r="AK45" i="9"/>
  <c r="X45" i="9"/>
  <c r="AL44" i="9"/>
  <c r="AK44" i="9"/>
  <c r="X44" i="9"/>
  <c r="AL43" i="9"/>
  <c r="AK43" i="9"/>
  <c r="X43" i="9"/>
  <c r="AL42" i="9"/>
  <c r="AK42" i="9"/>
  <c r="X42" i="9"/>
  <c r="AL41" i="9"/>
  <c r="AK41" i="9"/>
  <c r="X41" i="9"/>
  <c r="AL40" i="9"/>
  <c r="AK40" i="9"/>
  <c r="X40" i="9"/>
  <c r="AL39" i="9"/>
  <c r="AK39" i="9"/>
  <c r="X39" i="9"/>
  <c r="AL38" i="9"/>
  <c r="AK38" i="9"/>
  <c r="X38" i="9"/>
  <c r="AL37" i="9"/>
  <c r="AK37" i="9"/>
  <c r="X37" i="9"/>
  <c r="AL36" i="9"/>
  <c r="AK36" i="9"/>
  <c r="X36" i="9"/>
  <c r="AL35" i="9"/>
  <c r="AK35" i="9"/>
  <c r="AH35" i="9"/>
  <c r="X35" i="9"/>
  <c r="AL34" i="9"/>
  <c r="AK34" i="9"/>
  <c r="X34" i="9"/>
  <c r="AL33" i="9"/>
  <c r="AK33" i="9"/>
  <c r="X33" i="9"/>
  <c r="AL32" i="9"/>
  <c r="AK32" i="9"/>
  <c r="X32" i="9"/>
  <c r="AL31" i="9"/>
  <c r="AK31" i="9"/>
  <c r="X31" i="9"/>
  <c r="AL30" i="9"/>
  <c r="AK30" i="9"/>
  <c r="AI30" i="9"/>
  <c r="AH30" i="9"/>
  <c r="X30" i="9"/>
  <c r="AL29" i="9"/>
  <c r="AK29" i="9"/>
  <c r="X29" i="9"/>
  <c r="AL28" i="9"/>
  <c r="AK28" i="9"/>
  <c r="X28" i="9"/>
  <c r="AL27" i="9"/>
  <c r="AK27" i="9"/>
  <c r="AL26" i="9"/>
  <c r="AK26" i="9"/>
  <c r="X26" i="9"/>
  <c r="AL25" i="9"/>
  <c r="AK25" i="9"/>
  <c r="X25" i="9"/>
  <c r="AL24" i="9"/>
  <c r="AK24" i="9"/>
  <c r="X24" i="9"/>
  <c r="AL23" i="9"/>
  <c r="AK23" i="9"/>
  <c r="X23" i="9"/>
  <c r="AL22" i="9"/>
  <c r="AK22" i="9"/>
  <c r="AI22" i="9"/>
  <c r="X22" i="9"/>
  <c r="AL21" i="9"/>
  <c r="AK21" i="9"/>
  <c r="X21" i="9"/>
  <c r="AL20" i="9"/>
  <c r="AK20" i="9"/>
  <c r="X20" i="9"/>
  <c r="AL19" i="9"/>
  <c r="AK19" i="9"/>
  <c r="X19" i="9"/>
  <c r="AL18" i="9"/>
  <c r="AK18" i="9"/>
  <c r="X18" i="9"/>
  <c r="AL17" i="9"/>
  <c r="AK17" i="9"/>
  <c r="X17" i="9"/>
  <c r="AL16" i="9"/>
  <c r="AK16" i="9"/>
  <c r="X16" i="9"/>
  <c r="AL15" i="9"/>
  <c r="AK15" i="9"/>
  <c r="X15" i="9"/>
  <c r="AL14" i="9"/>
  <c r="AK14" i="9"/>
  <c r="X14" i="9"/>
  <c r="AL13" i="9"/>
  <c r="AK13" i="9"/>
  <c r="X13" i="9"/>
  <c r="AL12" i="9"/>
  <c r="AK12" i="9"/>
  <c r="AH12" i="9"/>
  <c r="X12" i="9"/>
  <c r="AL11" i="9"/>
  <c r="AK11" i="9"/>
  <c r="X11" i="9"/>
  <c r="AL10" i="9"/>
  <c r="AK10" i="9"/>
  <c r="X10" i="9"/>
  <c r="AL9" i="9"/>
  <c r="AK9" i="9"/>
  <c r="X9" i="9"/>
  <c r="AL8" i="9"/>
  <c r="AK8" i="9"/>
  <c r="AI8" i="9"/>
  <c r="X8" i="9"/>
  <c r="AL7" i="9"/>
  <c r="AK7" i="9"/>
  <c r="X7" i="9"/>
  <c r="AL6" i="9"/>
  <c r="AK6" i="9"/>
  <c r="X6" i="9"/>
  <c r="AL5" i="9"/>
  <c r="AK5" i="9"/>
  <c r="X5" i="9"/>
  <c r="AL4" i="9"/>
  <c r="AK4" i="9"/>
  <c r="X4" i="9"/>
  <c r="AL3" i="9"/>
  <c r="AK3" i="9"/>
  <c r="X3" i="9"/>
</calcChain>
</file>

<file path=xl/comments1.xml><?xml version="1.0" encoding="utf-8"?>
<comments xmlns="http://schemas.openxmlformats.org/spreadsheetml/2006/main">
  <authors>
    <author>Hartman, Jelena@Waterboards</author>
  </authors>
  <commentList>
    <comment ref="K50" authorId="0">
      <text>
        <r>
          <rPr>
            <b/>
            <sz val="9"/>
            <color indexed="81"/>
            <rFont val="Tahoma"/>
            <family val="2"/>
          </rPr>
          <t xml:space="preserve">WB staff:
</t>
        </r>
        <r>
          <rPr>
            <sz val="9"/>
            <color indexed="81"/>
            <rFont val="Tahoma"/>
            <family val="2"/>
          </rPr>
          <t xml:space="preserve">Potential meter error
</t>
        </r>
      </text>
    </comment>
  </commentList>
</comments>
</file>

<file path=xl/sharedStrings.xml><?xml version="1.0" encoding="utf-8"?>
<sst xmlns="http://schemas.openxmlformats.org/spreadsheetml/2006/main" count="2788" uniqueCount="832">
  <si>
    <t>Production Units</t>
  </si>
  <si>
    <t>Legally binding document</t>
  </si>
  <si>
    <t>Documents</t>
  </si>
  <si>
    <t>Original conservation standard 
(Jul 15-Feb 16)</t>
  </si>
  <si>
    <t>AF</t>
  </si>
  <si>
    <t>MG</t>
  </si>
  <si>
    <t>From Water Board</t>
  </si>
  <si>
    <t>2013 Production (Removed Approved Certified Ag)</t>
  </si>
  <si>
    <t>Total 2013 Production (Includes Approved Certified Ag)</t>
  </si>
  <si>
    <t>CCF</t>
  </si>
  <si>
    <t>Los Angeles County Public Works Waterworks District 40 (399)</t>
  </si>
  <si>
    <t>South Lahontan</t>
  </si>
  <si>
    <t xml:space="preserve">See Worksheet 1 (attached), the District purchases water from the Antelope Valley-East Kern Water District (AVEK) which is a State Water Project Contractor. </t>
  </si>
  <si>
    <t>Individual</t>
  </si>
  <si>
    <t>No</t>
  </si>
  <si>
    <t>Jurupa Community Service District (299)</t>
  </si>
  <si>
    <t>South Coast</t>
  </si>
  <si>
    <t>I am having trouble entering the website for one of our legal documents. This is the pinpointed file: http://www.cbwm.org/docs/WatermasterCourtFilings/2012%20Watermaster%20Restated%20Judgment.pdfAll other supporting legal documents are combined into one and uploaded.</t>
  </si>
  <si>
    <t>Yes</t>
  </si>
  <si>
    <t>Our self-certified conservation standard is 0. JCSD will continue to encourage additional water savings. The voluntary standard will be 12%, approximately half of the District's most recent state mandated standard.</t>
  </si>
  <si>
    <t>Golden State Water Company Bell-Bell Gardens (703)</t>
  </si>
  <si>
    <t>GSWC customers have done a tremendous job conserving and complying with the States restrictions during the drought. We encourage all of our communities to continue to using water responsibly and keep the existing conservation momentum. As such, voluntary conservation targets may be proposed in the coming weeks pending actions by the CPUC in their upcoming resolution W-5103 to be heard by the commission on June 23rd.</t>
  </si>
  <si>
    <t>Blythe  City of (392)</t>
  </si>
  <si>
    <t>Colorado River</t>
  </si>
  <si>
    <t>Palo Verde Irrigation District Information. Aquifer Volume = 4,900,000 AcFT under 128,000 acres</t>
  </si>
  <si>
    <t>The City of Blythe is proposing a 5% conservation standard. This 5% is the monthly average value obtained from the months since the City of Blythe adopted Ordinance No 871-15, the monthly reporting to the SWRCB and Conservation Order on November 13, 2015.</t>
  </si>
  <si>
    <t>Ripon  City of (1035)</t>
  </si>
  <si>
    <t>San Joaquin River</t>
  </si>
  <si>
    <t>The City of Ripon has 6 active potable water production wells, with a total pumping capacity of 8200 gallons per minute or 13,227 acre feet per year. During the peak usage months of June, July and August in 2013 the city produced and used a total of 1,774 acre feet of water in the three months and we had a 3,298 acre pumping capacity.</t>
  </si>
  <si>
    <t>City will visit the idea of placing a higher conservation standard in place which is higher than the calculated standard.</t>
  </si>
  <si>
    <t>Santa Fe Irrigation District (729)</t>
  </si>
  <si>
    <t>Aggregate</t>
  </si>
  <si>
    <t>San Bernardino County Service Area 64 (686)</t>
  </si>
  <si>
    <t>We will be reducing our Drought Stage from Stage 2 "Drought Alert" to Stage 1 "Drought Watch" which allows for a conservation standard of up to 15% to be adjusted as needed to ensure sufficient water supply exists to meet demand.</t>
  </si>
  <si>
    <t>North Tahoe Public Utility District (670)</t>
  </si>
  <si>
    <t>North Lahontan</t>
  </si>
  <si>
    <t>We are continuing with our restriction of irrigating no more than 3 days a week and no irrigating between 11 AM - 6 PM. We have chosen this to help maintain our reduction towards our 20% by 2020.</t>
  </si>
  <si>
    <t>Scotts Valley Water District (547)</t>
  </si>
  <si>
    <t>Central Coast</t>
  </si>
  <si>
    <t>Valley of the Moon Water District (556)</t>
  </si>
  <si>
    <t>San Francisco Bay</t>
  </si>
  <si>
    <t>Milpitas  City of (313)</t>
  </si>
  <si>
    <t>Currently, our suppliers SFPUC call for 10% and SCVWD call for 20%.  Milpitas currently has a call for 30% and will schedule a Council meeting  to adopt new call of anticipated range between 10 to 20% reflecting our suppliers' calls for reduction.</t>
  </si>
  <si>
    <t>Indio  City of (522)</t>
  </si>
  <si>
    <t>IWA is aggressively expanding its existing water conservation programs and campaigns. IWA recently rolled out the State's first Evaporative Cooler Rebate, will continue with its Drought Penalty Surcharges, will continue its outdoor watering restrictions as well as fines/penalties for violating such restrictions!</t>
  </si>
  <si>
    <t>Coalinga City of (1049)</t>
  </si>
  <si>
    <t>Tulare Lake</t>
  </si>
  <si>
    <t>Water year volumes given are USBR allocations, Coalingas sole source or water, given during 2013, 2014, and 2015, consistent with the principal of Worksheet 1, in lieu of precipitation values.</t>
  </si>
  <si>
    <t>The proposed conservation goal for Coalinga is higher, at 25 percent, consistent with the previous statewide standard.  This will be subject to water availability from the USBR, and based on water supply, may need to be higher certain years.</t>
  </si>
  <si>
    <t>South Feather Water and Power Agency (779)</t>
  </si>
  <si>
    <t>Sacramento River</t>
  </si>
  <si>
    <t>3% because some conservation is appropriate with our conservation message.</t>
  </si>
  <si>
    <t>Tustin  City of (629)</t>
  </si>
  <si>
    <t>imported water is purchased from East Orange County Water DistrictGroundwater is pumped from the Orange County Water District</t>
  </si>
  <si>
    <t>The City of Tustin is currently in Stage 2 of the Water Management Plan and is achieving 26% conservation versus 2013 production. The City of Tustin City Council may choose to reduce or increase the stages in the Water Management plan in the future.</t>
  </si>
  <si>
    <t>Huntington Beach  City of (375)</t>
  </si>
  <si>
    <t>Vallejo  City of (1043)</t>
  </si>
  <si>
    <t>Fortuna  City of (525)</t>
  </si>
  <si>
    <t>North Coast</t>
  </si>
  <si>
    <t>See supporting documentation</t>
  </si>
  <si>
    <t>Cucamonga Valley Water District (719)</t>
  </si>
  <si>
    <t>Golden State Water Company Southwest (711)</t>
  </si>
  <si>
    <t>Menlo Park  City of (566)</t>
  </si>
  <si>
    <t>On June 21, 2016, the City Council adopted a resolution implementing a 10% conservation goal to match our water wholesaler's, SFPUC, 10% voluntary conservation goal.</t>
  </si>
  <si>
    <t>Glendora  City of (728)</t>
  </si>
  <si>
    <t>Beverly Hills  City of (640)</t>
  </si>
  <si>
    <t>The City of Beverly Hills will continue to implement a local 30% reduction and prohibit outdoor watering use as prescribed in the Stage D Water Conservation Ordinance.  Stage D will be in effect until a new conservation program is in place that will meet and exceed the City's 20% reduction goal by the year 2020. The new program will amend the municipal codes to include policies and conservation standards to enhance water use efficiency and penalize egregious water users.</t>
  </si>
  <si>
    <t>Hi-Desert Water District (357)</t>
  </si>
  <si>
    <t>N/A</t>
  </si>
  <si>
    <t>Total available water includes SWP deliveries (3,006 AFPY);banked water (11,351 AF); and Ames Basin allocations of 703 AFPY.</t>
  </si>
  <si>
    <t>The District has followed stringent conservation methods since the early 1990's.</t>
  </si>
  <si>
    <t>Yuba City  City of (379)</t>
  </si>
  <si>
    <t>California Water Service Company Bear Gulch (458)</t>
  </si>
  <si>
    <t>Water supply from the Bear Gulch Reservoir has been excluded from available water supply.  While water will likely be available from this source during 2017, 2018, and 2019 it is unclear as to the amount that would be available.  In order to provide a conservative water supply projection we have not included any water from this source in our analysis.</t>
  </si>
  <si>
    <t>Linda County Water District (612)</t>
  </si>
  <si>
    <t>See attached supporting analysis for the breakdown of 2013 and 2014 production.</t>
  </si>
  <si>
    <t>Our District uses only groundwater for our source water and we are located over a large and well charged aquifer. The limiting factor is treatment capacity, see attached Supporting Analysis file for breakdown of treatment capacity.</t>
  </si>
  <si>
    <t>Currently the Linda County Water District's board has declared adrought stage 4 (1 highest conservation level 5 = no drought) thatcorresponds to a 10% targeted conservation. The District is alsopreparing studies to allow a 20% total conservation by the year 2020.</t>
  </si>
  <si>
    <t>Lincoln Avenue Water Company (597)</t>
  </si>
  <si>
    <t>California Water Service Company Dominguez (465)</t>
  </si>
  <si>
    <t>Our wholesaler, West Basin Municipal Water District included a category of recycled water in their projected supply availability.  In response to the memorandum provided by the State Water Board on June 22, 2016 we have excluded this recycled water figure in the Available water supply that we have included.  For this reason, our available water supply from our wholesaler will be slightly lower than what was provided to us.</t>
  </si>
  <si>
    <t>California Water Service Company East Los Angeles (444)</t>
  </si>
  <si>
    <t>Garden Grove  City of (568)</t>
  </si>
  <si>
    <t>Vista Irrigation District (395)</t>
  </si>
  <si>
    <t>California-American Water Company Los Angeles District (592)</t>
  </si>
  <si>
    <t>Schedule 14.1, Stage 2 mandatory conservation measures remain in place, including limited watering days.</t>
  </si>
  <si>
    <t>Tahoe City Public Utilities District (414)</t>
  </si>
  <si>
    <t>Olivenhain Municipal Water District (319)</t>
  </si>
  <si>
    <t>Includes agricultural use</t>
  </si>
  <si>
    <t>Mission Springs Water District (398)</t>
  </si>
  <si>
    <t>MSWD's R-GPCD is only 112. Local economic factors have contributed greatly to this very low number for a desert region with extreme temperatures. It is highly unlikely that local factors will change to such an extent as to substantially reduce the significant supply surplus that currently exists.</t>
  </si>
  <si>
    <t>Cerritos  City of (586)</t>
  </si>
  <si>
    <t>Fountain Valley  City of (564)</t>
  </si>
  <si>
    <t>Higher conservation target 5% to 15% which aligns with a Level 1 Voluntary Compliance.</t>
  </si>
  <si>
    <t>Las Virgenes Municipal Water District (659)</t>
  </si>
  <si>
    <t>Monthly production data supplied as an additional attachment ("LVMWD Production").</t>
  </si>
  <si>
    <t>From Metropolitan Water District of Southern California.</t>
  </si>
  <si>
    <t>Budget based water were implemented district-wide on 1/1/2016. This rate structure rewards customers who manage water use within scientifically defined parameters and penalizes customers who waste water. Additionally, LVMWD will maintain its water shortage contingency plan.</t>
  </si>
  <si>
    <t>Vallecitos Water District (520)</t>
  </si>
  <si>
    <t>San Diego County Water Authority supplies including water from the Claude "Bud" Lewis Carlsbad desalination plant.</t>
  </si>
  <si>
    <t>Upland  City of (708)</t>
  </si>
  <si>
    <t>Camarillo  City of (390)</t>
  </si>
  <si>
    <t>Tuolumne Utilities District (435)</t>
  </si>
  <si>
    <t>San Dieguito Water District (671)</t>
  </si>
  <si>
    <t>South Pasadena  City of (752)</t>
  </si>
  <si>
    <t>Great Oaks Water Company Incorporated (648)</t>
  </si>
  <si>
    <t>Available water supply based upon combined well production capacities.</t>
  </si>
  <si>
    <t>Great Oaks Water Company will call for mandatory water conservation/water use reductions equal to a twenty percent (20%) reduction from 2013 water use.  This is consistent with water use reductions called for by the Santa Clara Valley Water District and the City of San Jose and is authorized by the California Public Utilities Commission.</t>
  </si>
  <si>
    <t>Arcadia  City of (699)</t>
  </si>
  <si>
    <t>20% as recommended by Upper San Gabriel Valley Municipal Water District. For more detailed information see attached Supporting Data and Analysis.</t>
  </si>
  <si>
    <t>San Gabriel County Water District (689)</t>
  </si>
  <si>
    <t>SGCWD is electing to implement a 10% conservation standard.  SGCWD feels that a 10% savings target is necessary due to future population growth and development.</t>
  </si>
  <si>
    <t>Padre Dam Municipal Water District (736)</t>
  </si>
  <si>
    <t>San Diego County Water Authority is submitting Worksheet 2 and Legally binding document for all aggregated agencies.</t>
  </si>
  <si>
    <t>Seal Beach  City of (632)</t>
  </si>
  <si>
    <t>Seal Beach only uses imported water and ground water for its supply.</t>
  </si>
  <si>
    <t>Hanford  City of (474)</t>
  </si>
  <si>
    <t>Based upon aquifer capacity as outlined in the 2011 Kings County Water District Groundwater Management Plan with 82,500,000 af in our basin, overdraft projections,  and our current drawdown / water levels.</t>
  </si>
  <si>
    <t>We intend to use a 15% conservation standard to ensure our customers continue to conserve water based upon the Governor's 20/20 requirement.</t>
  </si>
  <si>
    <t>San Bernardino  City of (470)</t>
  </si>
  <si>
    <t>Production summary attached - conservation standard calculation_SBMWD.xlsx</t>
  </si>
  <si>
    <t>Supply summary attached - conservation standard calculation_SBMWD.xlsx</t>
  </si>
  <si>
    <t>West Valley Water District (396)</t>
  </si>
  <si>
    <t>See Attachment</t>
  </si>
  <si>
    <t>Hillsborough  Town of (461)</t>
  </si>
  <si>
    <t>As provided to the Town of Hillsborough by the SFPUC, Hillsborough's sole source of water supply, in a letter from the SFPUC to its wholesale water customers, dated June 9, 2016</t>
  </si>
  <si>
    <t>In its June 9, 2016 letter to wholesale customers, The SFPUC has requested from its customers a  voluntary 10% system wide water use reduction as compared to 2013 use. The Town has set this as its overall voluntary reduction goal as well.</t>
  </si>
  <si>
    <t>North Marin Water District (361)</t>
  </si>
  <si>
    <t>Riverside  City of (335)</t>
  </si>
  <si>
    <t>Although Riverside does not plan to have a conservation standard that is higher than the mandatory conservation standard, we are committed to efficient water use and plan to fund our conservation programs, continue educational programs, and promote conservation through messaging.</t>
  </si>
  <si>
    <t>Westminster  City of (317)</t>
  </si>
  <si>
    <t>10% conservation standard will be enforced locally. The City of Westminster feels confident 10% is obtainable and will work for an even higher conservation standard.</t>
  </si>
  <si>
    <t>Brentwood  City of (563)</t>
  </si>
  <si>
    <t>Bakersfield  City of (1007)</t>
  </si>
  <si>
    <t>Coachella  City of (714)</t>
  </si>
  <si>
    <t>As described in the supplement, the six water agencies collaboratively distributed the volume of the groundwater basin for purposes of this assessment.</t>
  </si>
  <si>
    <t>The City of Coachella is proposing a conservation standard of 10%</t>
  </si>
  <si>
    <t>Oxnard  City of (575)</t>
  </si>
  <si>
    <t>Lomita  City of (663)</t>
  </si>
  <si>
    <t>Folsom  City of (351)</t>
  </si>
  <si>
    <t>The City has two pre-1914 settlement contracts with the United States Bureau of Reclamation totaling 27,000 AF and one Central Valley Contract totaling 7,000 AF. There are no website links to these documents and the assumptions for supply availability are provided in the supporting materials attached. Of the 27,000 AF of pre-1914 water, the City is reselling 5,000 AF to Golden State Water Company under a co-tenancy agreement, which is also described in the supporting documentation.</t>
  </si>
  <si>
    <t>The City is asking water customers for a voluntary 10% water use reduction compared to 2013 water use.</t>
  </si>
  <si>
    <t>Park Water Company (733)</t>
  </si>
  <si>
    <t>Martinez  City of (531)</t>
  </si>
  <si>
    <t>rounded to the nearest whole acre foot</t>
  </si>
  <si>
    <t>Sweetwater Springs Water District (450)</t>
  </si>
  <si>
    <t>Sweetwater Springs Water District will continue to participate in the regional water conservation effort.</t>
  </si>
  <si>
    <t>Livermore  City of Division of Water Resources (539)</t>
  </si>
  <si>
    <t>City of Livermore purchases 100% of our water from Zone 7 Water Agency.</t>
  </si>
  <si>
    <t>The City of Livermore Water purchases 100% of our water from Zone 7 Water Agency.</t>
  </si>
  <si>
    <t>The City Of Livermore Water plans to have a 10% voluntary conservation standard.</t>
  </si>
  <si>
    <t>California Water Service Company Westlake (503)</t>
  </si>
  <si>
    <t>Myoma Dunes Mutual Water Company (1028)</t>
  </si>
  <si>
    <t>Lodi  City of Public Works Department (661)</t>
  </si>
  <si>
    <t>Ramona Municipal Water District (667)</t>
  </si>
  <si>
    <t>Indian Wells Valley Water District (367)</t>
  </si>
  <si>
    <t>Production data is collected annually by the Indian Wells Valley Cooperative Groundwater Management Group.  Major pumpers report metered production.  Estimates are made for deminimus private wells and small family orchards.</t>
  </si>
  <si>
    <t>In recognition that the DWR has listed the Indian Wells Valley Basin as a medium priority basin in critical overdraft, the Board of Directors of IWVWD voted June 13th to submit a 20% conservation standard for the period from June 2016 through January 2017.  The rate may be expected to fall below 20% during the summer months and exceed 20% during the fall months.</t>
  </si>
  <si>
    <t>Yreka City of (677)</t>
  </si>
  <si>
    <t>Production volume based on raw water master meter.  See supporting data document.</t>
  </si>
  <si>
    <t>Water is supplied from Fall Creek per the City's Diversion Permit. See supporting document.</t>
  </si>
  <si>
    <t>San Jose  City of (344)</t>
  </si>
  <si>
    <t>Windsor Town of (366)</t>
  </si>
  <si>
    <t>Fresno  City of (587)</t>
  </si>
  <si>
    <t>Reedley  City of (764)</t>
  </si>
  <si>
    <t>Water well production spreadsheet attached to report</t>
  </si>
  <si>
    <t>Although the City plans to relax the conservation standard, the City will continue to adhere to its water waste restrictions as stated in our Water Conservation Ordinance.</t>
  </si>
  <si>
    <t>California Water Service Company Willows (502)</t>
  </si>
  <si>
    <t>Marin Municipal Water District (363)</t>
  </si>
  <si>
    <t>Under new state water conservation regulations that take into account local water supply conditions, the Marin Municipal Water District (MMWD) will continue to focus on conservation, though the district is no longer required to meet a 20% state conservation standard.</t>
  </si>
  <si>
    <t>Lamont Public Utility District (1019)</t>
  </si>
  <si>
    <t>75% of total well capacity in the district.</t>
  </si>
  <si>
    <t>14% goal</t>
  </si>
  <si>
    <t>Inglewood  City of (776)</t>
  </si>
  <si>
    <t>City of Inglewood has a conservation standard already in place and City is expecting to conserve more than 5% in the future.</t>
  </si>
  <si>
    <t>Fallbrook Public Utility District (755)</t>
  </si>
  <si>
    <t>Monrovia  City of (668)</t>
  </si>
  <si>
    <t>California Water Service Company Chico District (454)</t>
  </si>
  <si>
    <t>Rio Linda - Elverta Community Water District (735)</t>
  </si>
  <si>
    <t>Worksheet 1Excel Worksheet: Demand &amp; Supply</t>
  </si>
  <si>
    <t>Mountain House Community Services District (1050)</t>
  </si>
  <si>
    <t>Mountain House CSD entered into an agreement with Byron Bethany Irrigation District for annual deliveries of 9,813 AF of water per year. The agreement ensures a reliable year-round water supply that is not subject to hydrological conditions based upon BBID's agreement with the California DWR.</t>
  </si>
  <si>
    <t>Santa Fe Springs  City of (685)</t>
  </si>
  <si>
    <t>Bellflower-Somerset Mutual Water Company (557)</t>
  </si>
  <si>
    <t>The above does not include carried over or stored water</t>
  </si>
  <si>
    <t>Huntington Park  City of (652)</t>
  </si>
  <si>
    <t>Glendale  City of (768)</t>
  </si>
  <si>
    <t>The City of Glendale will be adopting Phase II of its Mandatory Conservation Standard which is a 3 days per week watering restriction. The City is currently in Phase III with 2 days per week restriction.</t>
  </si>
  <si>
    <t>Mid-Peninsula Water District (318)</t>
  </si>
  <si>
    <t>MPWD purchases 100% of its supply from SFPUC who is requesting its retailers meet a 10% voluntary savings call to action. MPWD will honor this request &amp; in turn ask the same of its customer base.</t>
  </si>
  <si>
    <t>California Water Service Company Mid Peninsula (489)</t>
  </si>
  <si>
    <t>La Habra  City of Public Works (579)</t>
  </si>
  <si>
    <t>The conservation standard will be determined by Council proceeding the self certification process.</t>
  </si>
  <si>
    <t>Newport Beach  City of (619)</t>
  </si>
  <si>
    <t>The City estimates recycled water use for WY 17, 18 &amp;19 at 490 AF annually with an additional expansion of 39AF for WY 17, 49AF for WY 18, and 60AF for WY 19.</t>
  </si>
  <si>
    <t>The City of Newport Beach City Council has proposed a "Level 2" Water Supply Shortage that includes mandatory water use restrictions of 15 percent compared to same period in 2013. Additional restrictions include limits on pool filling, watering days, time to fix leaks, and other provisions. Our Council understands the drought is not over and preservation of our supplies is a necessity.</t>
  </si>
  <si>
    <t>Patterson  City of (567)</t>
  </si>
  <si>
    <t>The city intends on implementing a mandatory or voluntary 20% conservation standard. This standard will coincide with the 20% reduction of the Water Conservation Act of 2009 or SB7x7.</t>
  </si>
  <si>
    <t>Does not apply.</t>
  </si>
  <si>
    <t>Morgan Hill  City of (756)</t>
  </si>
  <si>
    <t>Total Available Supply = Firm City Pumping Capacity x Annual Dry Year Supply ReductionEstimated City Firm Pumping Capacity =19,228afyAnnual Dry Year Supply Reductions201695%201785%201870%Total Available SupplyAnnual Dry Year Supply Reduction201718,266afy95%201816,344afy85%201913,459afy70%</t>
  </si>
  <si>
    <t>The City of Morgan Hill will be using a 20% mandatory conservation standard.</t>
  </si>
  <si>
    <t>n/a</t>
  </si>
  <si>
    <t>The City of Morgan Hill is a single retailer without outside suppliers.</t>
  </si>
  <si>
    <t>Hayward  City of (466)</t>
  </si>
  <si>
    <t>Santa Clara  City of (545)</t>
  </si>
  <si>
    <t>The City will continue to promote water conservation as well as continue to incorporate recycled water into new developments and also convert acceptable potable water uses to recycled water where feasible.</t>
  </si>
  <si>
    <t>In an effort to preserve the groundwater basin, the City will retain a conservation standard in accordance with the Santa Clara Valley Water District and SFPUC (subject to City Council Approval).</t>
  </si>
  <si>
    <t>Newhall County Water District (441)</t>
  </si>
  <si>
    <t>Imported Water Wholesale (CLWA) submission link:  http://clwa.org/castaic-lake-water-agencys-state-water-resources-control-board-imported-water-supplydemand-assessmentNCWD Supplies (af)2017 - Imported = 4,972 and GW = 5,245 - Total = 10,2172018 - Imported = 5,222 and GW = 4,995 - Total = 10,2172019 - Imported = 5,222 and GW = 4,995 - Total = 10,217*See uploaded spreadsheet titled NCWD Self-Cert Supporting Information - Worksheet titled Demand v Supply Worksheet</t>
  </si>
  <si>
    <t>El Centro  City of (312)</t>
  </si>
  <si>
    <t>IID Supply Letter is located at:http://www.iid.com/home/showdocument?id=11785</t>
  </si>
  <si>
    <t>All documents will be posted on City of El Centro website at:http://www.cityofelcentro.org/pworks/index.asp?m=1&amp;page=53</t>
  </si>
  <si>
    <t>Corona  City of (385)</t>
  </si>
  <si>
    <t>Potable water production is located on Supporting Analysis_Calculations attachment under "Calc_Water Demand 2013" and "Calc_Water Demand 2014" tabs.</t>
  </si>
  <si>
    <t>WY 2017-2019 Total Available Water Supply is located on Supporting Analysis_Calculations attachment under "Calc_GW Production_Water Years" tab.</t>
  </si>
  <si>
    <t>The City of Corona will continue promotion of water use efficiency and will remain in Stage 2 of the Water Conservation Ordinance through 2019.</t>
  </si>
  <si>
    <t>Elk Grove Water Service (440)</t>
  </si>
  <si>
    <t>Eureka  City of (560)</t>
  </si>
  <si>
    <t>Amador Water Agency (421)</t>
  </si>
  <si>
    <t>Mountain View  City of (513)</t>
  </si>
  <si>
    <t>Mountain View is currently in a Stage 1 Water Shortage (up to 10% reduction), reduced from Stage 2 Water Shortage (11-25% reduction), and continues to promote the efficient use of water through a voluntary three day/week irrigation schedule and mandatory water waste prohibitions.  The City anticipates it will meet the voluntary 10 and 20% percent reductions requested by its wholesale suppliers (SFPUC and SCVWD, respectively).</t>
  </si>
  <si>
    <t>Fair Oaks Water District (628)</t>
  </si>
  <si>
    <t>In accordance with recently completed and submitted FOWD 2015 Urban Water Management Plan.</t>
  </si>
  <si>
    <t>Data supplied is in accordance with our wholesale water supplier (San Juan Water District) submitted information and with recently completed and submitted 2015 FOWD Urban Water Management Plan. The total available water supply projected for Fair Oaks Water District in 2017, 2018 and 2019 is 24% of the total supply reported by San Juan Water District for 2017, 2018 and 2019 with ground water available to the District that has not been included.</t>
  </si>
  <si>
    <t>Voluntary 20% reduction.</t>
  </si>
  <si>
    <t>Humboldt Bay Municipal Water District (377)</t>
  </si>
  <si>
    <t>Redwood City  City of (761)</t>
  </si>
  <si>
    <t>El Dorado Irrigation District (311)</t>
  </si>
  <si>
    <t>The District conserved approximately 31% since June 1, 2015, and also operates a recycled water system that produces approximately 2500 af per year to offset potable water supply.</t>
  </si>
  <si>
    <t>Sacramento Suburban Water District (347)</t>
  </si>
  <si>
    <t>The District did not include any reductions in demand based on structural conservation or substitution of non-potable supplies for potable supplies after 2014.</t>
  </si>
  <si>
    <t>The District has a 2016 water conservation goal of 10% and is recommending customers water no more than three days per week to achieve this goal.</t>
  </si>
  <si>
    <t>San Bruno  City of (536)</t>
  </si>
  <si>
    <t>Rialto  City of (750)</t>
  </si>
  <si>
    <t>The City is reviewing options for reduction percentage higher than 0%. We expect to report the reduction percentage within a month, after City Council approval.</t>
  </si>
  <si>
    <t>Contra Costa Water District (337)</t>
  </si>
  <si>
    <t>Pleasanton  City of (331)</t>
  </si>
  <si>
    <t>The City of Pleasanton will request a voluntary 10% conservation level.  If that level is achieved, the City will remain on track for compliance with the requirements outlined in SBX7-7.</t>
  </si>
  <si>
    <t>Eastern Municipal Water District (530)</t>
  </si>
  <si>
    <t>Sacramento County Water Agency (436)</t>
  </si>
  <si>
    <t>Refer to SCWA's supporting documentation for references and source information related to these quantities</t>
  </si>
  <si>
    <t>SCWA will request a voluntary 10 percent reduction in consumption by our customers compared to 2013.</t>
  </si>
  <si>
    <t>Redlands  City of (463)</t>
  </si>
  <si>
    <t>Calculations are found on the attached.</t>
  </si>
  <si>
    <t>The City plans to achieve at least a 15 percent potable water use reduction, as compared to 2013.  This amount was established based on the safe yield in the basin, anticipated conservation from other basin users, and imported State Water Project water.  If a 15 percent reduction is achieved it is anticipated there will be little to no impact to the basin.</t>
  </si>
  <si>
    <t>Golden State Water Company Placentia (651)</t>
  </si>
  <si>
    <t>Ceres  City of (613)</t>
  </si>
  <si>
    <t>East Valley Water District (456)</t>
  </si>
  <si>
    <t>Numbers accounted for by the District operations department.</t>
  </si>
  <si>
    <t>Supplies include groundwater production from the Bunker Hill Basin, State Project Water, and surface water from the Santa Ana River.</t>
  </si>
  <si>
    <t>East Valley Water District will be implementing a 15% water conservation standard in effort to maintain and improve water supply levels in the San Bernardino Basin Area. The District along with other water agencies in the region are using the operating safe yield of the basin as the guideline to reduce water demands.</t>
  </si>
  <si>
    <t>Delano  City of (321)</t>
  </si>
  <si>
    <t>The well data supplied did not include wells 35 and 40. These two wells will be online in January 2017. Well 35 has a wellhead nitrate removal</t>
  </si>
  <si>
    <t>The City of Delano is planning to start at 12% for a continued reduction of water to help protect the city's supply, accommodate for possible future growth, and to reduce the amount of operation and maintenance costs for the city and the customers.</t>
  </si>
  <si>
    <t>Ontario  City of (374)</t>
  </si>
  <si>
    <t>Woodland  City of (512)</t>
  </si>
  <si>
    <t>In order to encourage long-term conservation, City of Woodland staff has recommended that the City Council adopt a voluntary conservation standard of 10% (compared to 2013 water use) as well as a voluntary outdoor irrigation restriction to three days per week between the hours of 6:00 p.m. and 10:00 a.m. excluding drip irrigation.</t>
  </si>
  <si>
    <t>Valencia Water Company (442)</t>
  </si>
  <si>
    <t>Production is shown on 2016 WSRC VWC Supporting Document - VWC Production and Well Data worksheet.</t>
  </si>
  <si>
    <t>See 2016 WSRC VWC Supporting Document  - VWC Groundwater worksheet</t>
  </si>
  <si>
    <t>California Water Service Company South San Francisco (498)</t>
  </si>
  <si>
    <t>California Water Service Company Salinas District (495)</t>
  </si>
  <si>
    <t>San Juan Capistrano  City of (691)</t>
  </si>
  <si>
    <t>Data collected and calculated from SCADA system and meter readings.</t>
  </si>
  <si>
    <t>Water sources: MWDOC/MWD wholesale water supplier and local groundwater wells.  Documentation attached.</t>
  </si>
  <si>
    <t>The City will support MWDOC call for a countywide 10% savings goal.  Conservation will also accommodate growth assumptions.</t>
  </si>
  <si>
    <t>Nevada Irrigation District (400)</t>
  </si>
  <si>
    <t>Daly City  City of (320)</t>
  </si>
  <si>
    <t>San Francisco Public Utilities Commission - Table 2, Daly City Groundwater, Average Calculation</t>
  </si>
  <si>
    <t>Kerman City of (602)</t>
  </si>
  <si>
    <t>California-American Water Company Sacramento District (646)</t>
  </si>
  <si>
    <t>CPUC annual report Addendum D-1 for 2013 and 2014 attached in a single excel spreadsheet. These contain all active wells and their pumping capacities as well as production data.</t>
  </si>
  <si>
    <t>Schedule 14.1 Stage 2 mandatory conservation measures remain in place, including limited water days.</t>
  </si>
  <si>
    <t>Sonoma  City of (694)</t>
  </si>
  <si>
    <t>Coachella Valley Water District (326)</t>
  </si>
  <si>
    <t>CVWD intends to continue to work towards our long term conservationgoals as outlined in the Coachella Valley Water Management Plan and ourUrban Water Management Plans. Further, effective July 1, 2016, CVWDwill adjust the water budgets for our budget based billing system to beapproximately 25% less than was previously allowed, thereforeimplementing a permanent 25% water use reduction standard compared toprevious rates.</t>
  </si>
  <si>
    <t>Helix Water District (653)</t>
  </si>
  <si>
    <t>Atascadero Mutual Water Company (1005)</t>
  </si>
  <si>
    <t>see attached Technical Memorandum</t>
  </si>
  <si>
    <t>Atascadero Mutual Water Company (AMWC) will keep its Stage 2 Water Shortage Condition in effect and encourage its customers to reduce water consumption.  AMWC will enforce its wise &amp; beneficial use requirements and prohibit wasteful practices in accordance with the Governor's Executive order.</t>
  </si>
  <si>
    <t>Placer County Water Agency (383)</t>
  </si>
  <si>
    <t>See Supporting Documentation - Treated Water Demands Table</t>
  </si>
  <si>
    <t>Suisun-Solano Water Authority (609)</t>
  </si>
  <si>
    <t>1)The wholesaler assessment of available supply for the next 3 water years is available at www.scwa2.com/water-supplyRefer to uploaded document"SCWA Agreement w/Suisun City for Solano Project Water" pages 1&amp;5.  2)A 5% reduction in Solano Project allocation to Suisun City is a voluntary reduction based on Lake levels.3)Refer to the SCWA contract w/Solano Irrig. Dist."Suisun/Solano Water Authority Implementation Agreement pages 1,3 &amp;4.</t>
  </si>
  <si>
    <t>Fullerton  City of (723)</t>
  </si>
  <si>
    <t>Manteca  City of (1025)</t>
  </si>
  <si>
    <t>California-American Water Ventura District (594)</t>
  </si>
  <si>
    <t>California Water Service Company Dixon City of (462)</t>
  </si>
  <si>
    <t>Golden State Water Company Artesia (701)</t>
  </si>
  <si>
    <t>Golden State Water Company Norwalk (706)</t>
  </si>
  <si>
    <t>Norco  City of (1029)</t>
  </si>
  <si>
    <t>The City of Norco uses multiple sources of water to meet its demands (groundwater wells, WMD connection, Take or Pay contracts with Wholesalers?.</t>
  </si>
  <si>
    <t>The City of Norco has a take-or-pay agreement with Western Municipal Water District (WMWD) for minimum of 4,400 AF and up to 7,000 AF of treated groundwater from its Arlington plant.  The City also has a take-or-pay agreement 1,000 AF with Chino Basin Desalter Authority for 1,000 AF of treated groundwater.  This City also used purchased imported water from MWD that it can buy from WMWD which is a member agency of MWD.  The City will pump its remaining demands from its 4 groundwater wells.</t>
  </si>
  <si>
    <t>The City of Norco is currently in Level 3 (mandatory 30% reduction)of its water conservation ordinance and will reduce to Level 1 (voluntary 5% conservation).  The City of Norco's current customer demands have dropped significant to 6,300 AF annually and the City does anticipate a significant rise in demand if mandatory conservation is lifted.</t>
  </si>
  <si>
    <t>Sunnyslope County Water District (589)</t>
  </si>
  <si>
    <t>The Sunnyslope County Water District adopted Resolution No. 542 on June 21, 2016 restricting landscape water to 3 times per week and requiring a 15% reduction in water use compared to 2013.</t>
  </si>
  <si>
    <t>Hollister  City of (588)</t>
  </si>
  <si>
    <t>Santa Monica  City of (333)</t>
  </si>
  <si>
    <t>See Supporting Analysis and Documentation</t>
  </si>
  <si>
    <t>Golden State Water Company Florence Graham (704)</t>
  </si>
  <si>
    <t>Pittsburg  City of (535)</t>
  </si>
  <si>
    <t>Based on 2014 usage (9,015 AF) and May 2016 usage, we expect voluntary conservation to be about 10% lower than 2013 ( = 9,113 AF).</t>
  </si>
  <si>
    <t>El Segundo  City of (1001)</t>
  </si>
  <si>
    <t>Quartz Hill Water District (679)</t>
  </si>
  <si>
    <t>All sources identified in worksheet and attached documents. Quartz Hill Water District has banked 3550 acft of water that could be made available at any time.</t>
  </si>
  <si>
    <t>The District will continue to have watering day restrictions, and will enforce all state mandated conservation efforts.</t>
  </si>
  <si>
    <t>California Water Service Company Marysville (481)</t>
  </si>
  <si>
    <t>Sunnyvale  City of (523)</t>
  </si>
  <si>
    <t>The above figures are for calendar years 2013 &amp; 2014 and include total water supplied from SCVWD, SFPUC &amp; City owned wells.</t>
  </si>
  <si>
    <t>The Council later this evening on 6/21/2016 is scheduled to set a minimum conservation target of 15%.</t>
  </si>
  <si>
    <t>San Jose Water Company (348)</t>
  </si>
  <si>
    <t>A higher conservation standard will be used that reflects that of the wholesaler - Santa Clara Valley Water District - to provide consistency throughout the whole county.  This figure is yet to be determined.</t>
  </si>
  <si>
    <t>South Tahoe Public Utilities District (353)</t>
  </si>
  <si>
    <t>Thousand Oaks  City of (638)</t>
  </si>
  <si>
    <t>Rainbow Municipal Water District (408)</t>
  </si>
  <si>
    <t>Pismo Beach  City of (480)</t>
  </si>
  <si>
    <t>Although we don't intend to have a higher conservation standard that is mandatory, we are still very aggressive with water conservation and will continue to encourage our citizens to conserve 20% based on 2013 consumption/production</t>
  </si>
  <si>
    <t>El Toro Water District (562)</t>
  </si>
  <si>
    <t>The potable water production for FY 2013 and FY 2014 are based on invoiced water purchase numbers from our wholesale agency, the Municipal Water District of Orange County.</t>
  </si>
  <si>
    <t>The District is 100% dependent on imported water for potable water supplies from the Metropolitan Water District of Southern California via the Municipal Water District of Orange County. The District has invested $34 million in converting potable irrigation to non-potable post 2013 and 2014 which on average equates to a 950 AF offset.</t>
  </si>
  <si>
    <t>ETWD will have a target of 10% consistent with MWDOC's call for a Orange County Wide 10% reduction.   ETWD will utilize it's Water Supply Contingency Ordinance, Water Budget Based Tiered Conservation Rate Structure, Recycled Water Conversions and local and regional conservation messaging to meet or exceed the 10%.</t>
  </si>
  <si>
    <t>Westborough Water District (511)</t>
  </si>
  <si>
    <t>El Monte  City of (532)</t>
  </si>
  <si>
    <t>From Main San Gabriel Water Master production reports</t>
  </si>
  <si>
    <t>Water supply based on Operating Safe Yield (OSY) from Main San Gabriel Water Master for FYs 12/13, 13/14, and 14/15 minus water needed for anticipated population growth.</t>
  </si>
  <si>
    <t>Will probably stay at the previous conservation tier of 8% for now based on possible lowering of OSY by the Water Master in coming years.</t>
  </si>
  <si>
    <t>Yorba Linda Water District (294)</t>
  </si>
  <si>
    <t>Dinuba  City of (345)</t>
  </si>
  <si>
    <t>San Juan Water District (464)</t>
  </si>
  <si>
    <t>Chino  City of (352)</t>
  </si>
  <si>
    <t>California Water Service Company Bakersfield (420)</t>
  </si>
  <si>
    <t>Water supply for the two treatment plants in Bakersfield that is purchased from the City of Bakersfield have been excluded from the supply projections.  We fully expect to receive an adequate supply but have excluded due to inadequate time to fully analyze water supply projections for this specific source of supply given the specific methodology.  In order to provide a conservative figure we have elected to exclude for the purpose of self-certification.</t>
  </si>
  <si>
    <t>Petaluma  City of (559)</t>
  </si>
  <si>
    <t>Vernon  City of (746)</t>
  </si>
  <si>
    <t>California Water Service Company Redwood Valley (493)</t>
  </si>
  <si>
    <t>San Diego  City of (426)</t>
  </si>
  <si>
    <t>Del Oro Water Company (1011)</t>
  </si>
  <si>
    <t>Del Oro may choose to have a higher conservation standard to encourage long-term conservation by its customers. The conservation standard percentage has yet to be decided.</t>
  </si>
  <si>
    <t>Imperial City of (338)</t>
  </si>
  <si>
    <t>effluent production meter</t>
  </si>
  <si>
    <t>California Water Service Company Visalia (451)</t>
  </si>
  <si>
    <t>Rio Vista city of (448)</t>
  </si>
  <si>
    <t>Morro Bay  City of (292)</t>
  </si>
  <si>
    <t>Golden State Water Company Cordova (766)</t>
  </si>
  <si>
    <t>California Water Service Company Stockton (500)</t>
  </si>
  <si>
    <t>Stockton East Water District (SEWD) projects supply availability of 84,000 AF (2017), 84,000 AF (2018), and 25,000 AF (2019).  The figures provided are based on the allocation agreement between the City of Stockton, California Water Service Company, Lincoln Village Maintenance District, and Colonial Heights Maintenance District (Supplement No. 2).  This agreement allocates 62.6% of SEWD deliveries to California Water Service.</t>
  </si>
  <si>
    <t>Loma Linda  City of * (528)</t>
  </si>
  <si>
    <t>The City is imposing an additional 10% over the 0% Conservation Standard. This will take future estimated growth into consideration and still meet the effort achieved in 2015.</t>
  </si>
  <si>
    <t>Covina  City of  (1010)</t>
  </si>
  <si>
    <t>Buena Park  City of (459)</t>
  </si>
  <si>
    <t>It is proposed the City Council adopt a resolution declaring Phase I of the City's Water Conservation and Water Supply Shortage Plan. Phase I is designed to achieve a 10 percent reduction in water use.</t>
  </si>
  <si>
    <t>Norwalk City of (727)</t>
  </si>
  <si>
    <t>West Sacramento  City of (754)</t>
  </si>
  <si>
    <t>Golden State Water Company Culver City (770)</t>
  </si>
  <si>
    <t>Madera  City of (482)</t>
  </si>
  <si>
    <t>Data compiled from City of Madera SCADA system.  Data matches what is reported to the SWRCB on monthly production reports, and the compiled data is included in supporting documentation.  The raw data from SCADA would exceed the size restriction for supporting documentation, but can be provided.</t>
  </si>
  <si>
    <t>Data is from the City of Madera Draft UWMP section 8.9.  A copy of this section of the Draft UWMP is included in supporting documentation.  A full copy of the draft UWMP can be provided, but is not included due to supporting document size restrictions.</t>
  </si>
  <si>
    <t>Paso Robles  City of (479)</t>
  </si>
  <si>
    <t>City will continue to promote conservation in the community.</t>
  </si>
  <si>
    <t>Exeter  City of (446)</t>
  </si>
  <si>
    <t>Phelan Pinon Hills Community Services District (676)</t>
  </si>
  <si>
    <t>Total Production includes purchased water from City of Victorville due to mechanical failure of production well. 2013 46.9 AF, 2014 75.65 AF.</t>
  </si>
  <si>
    <t>Paradise Irrigation District (546)</t>
  </si>
  <si>
    <t>Palmdale Water District (672)</t>
  </si>
  <si>
    <t>Staff anticipates adopting a conservation standard of 15% initially.  The intent is to prevent a rebound back to prior watering habits.  If conservation remains greater than the 15% target, the District may opt to progressively reduce the target down to the self-certified 10%.</t>
  </si>
  <si>
    <t>Corcoran City of (1046)</t>
  </si>
  <si>
    <t>The City of Corcoran is working to establish a conservation goal higher than what is mandated by the Water Boards, currently staff is waiting on direction from City Council.</t>
  </si>
  <si>
    <t>Vaughn Water Company (549)</t>
  </si>
  <si>
    <t>Vaughn Water Company intends to set a conservation target of approximately 10% in order to achieve the water conservation targets associated with Assembly Bill 20 x 2020.</t>
  </si>
  <si>
    <t>Crescent City  City of (622)</t>
  </si>
  <si>
    <t>Annual water production data obtained from operational SCADA reports.</t>
  </si>
  <si>
    <t>Rohnert Park  City of (554)</t>
  </si>
  <si>
    <t>Fruitridge Vista Water Company (769)</t>
  </si>
  <si>
    <t>Millbrae  City of (738)</t>
  </si>
  <si>
    <t>The total projected water supply for SFPUC is greater than the water demand for the next three years. However, the projected water supply for each of their customers is equal to the average of CY 2013 and 2014 demands, which for the City of Millbrae is 769.4 MG or 2361 acre-feet. View the following link for more supportive information: http://sfwater.org/modules/showdocument.aspx?documentid=9287</t>
  </si>
  <si>
    <t>The City of Millbrae will request a 10% voluntary reduction from all water users.</t>
  </si>
  <si>
    <t>Pomona  City of (643)</t>
  </si>
  <si>
    <t>The City is waiting for direction from City Council on whether to keep the current conservation Level 2 Water Supply Shortage (11-30% consumer demand reduction) or lower to Level 1 Water Supply Shortage (up to 10% consumer demand reduction), which is still mandatory water conservation.</t>
  </si>
  <si>
    <t>Crestline Village Water District (623)</t>
  </si>
  <si>
    <t>All calculations are shown in "WorksheetNotes.xlsx".</t>
  </si>
  <si>
    <t>Montecito Water District (1026)</t>
  </si>
  <si>
    <t>District adopted Water Shortage Emergency Ordinance 92 and Allocation Ord. 93 in Feb, 2014 initiating a moratorium on new water service and implementing allocations with penalties for overage, restricting irrigation hours, and prohibiting supply to new recreational and aesthetic water features etc. Water use was substantially reduced as a result of these measures.</t>
  </si>
  <si>
    <t>Conservation under Allocaiton Ordinance 93 reduced potable water production by 34% in 2015 compared to the 2013/14 average.  The attached GPCD tables for CY2013 to the present illustrate a 48% reduction in 2015 compare to 2013.</t>
  </si>
  <si>
    <t>If drought and water supply conditions continue to deteriorate the district will reduce monthly allocations to customers resulting in a higher level of conservation to address the supply deficit.</t>
  </si>
  <si>
    <t>Walnut Valley Water District (644)</t>
  </si>
  <si>
    <t>WVWD will continue its conservation and water use efficiency messaging and use all means available to ensure its customers continue to use water efficiently.</t>
  </si>
  <si>
    <t>Otay Water District (425)</t>
  </si>
  <si>
    <t>Western Municipal Water District of Riverside (410)</t>
  </si>
  <si>
    <t>All supporting documentation is uploaded below.</t>
  </si>
  <si>
    <t>Antioch  City of (516)</t>
  </si>
  <si>
    <t>Lee Lake Water District (1021)</t>
  </si>
  <si>
    <t>As reported to SWRCB</t>
  </si>
  <si>
    <t>Per Metropolitan Water District and Western Municipal Water District -Our potable water wholesalers. See Worksheet form WMWD.Please note: Lee lake Water District is Temescal Valley Water District</t>
  </si>
  <si>
    <t>Intend to adopt a conservation standard that is greater than the SWRCB requirements.This number is unknown at this time and will be adopted by the District's Board of Directors.</t>
  </si>
  <si>
    <t>Carmichael Water District (328)</t>
  </si>
  <si>
    <t>Rubidoux Community Service District (678)</t>
  </si>
  <si>
    <t>100% Local Groundwater</t>
  </si>
  <si>
    <t>100% local Groundwater.See Worksheet and Supporting documentation.</t>
  </si>
  <si>
    <t>Santa Ana  City of (690)</t>
  </si>
  <si>
    <t>City plans to adopt a resolution declaring Phase 1 Water Supply Shortage and implement mandatory Phase 1 Water Supply Shortage measures, which include setting a bimonthly water conservation standard of 3 percent as compared to Base Year 2013 water usage.</t>
  </si>
  <si>
    <t>South Coast Water District (624)</t>
  </si>
  <si>
    <t>South Coast Water District (SCWD) implements aggressive water use efficiency and recycled water programs to further supplement regional water supplies. SCWD will continue with these programs to further reduce potable water uses.</t>
  </si>
  <si>
    <t>10% potable water reduction from June 2016 - January 2017</t>
  </si>
  <si>
    <t>Whittier  City of (598)</t>
  </si>
  <si>
    <t>This data is calculated by daily production meter reads from our well flow meters and submitted monthly to Main Basin Watermaster and Central Basin Watermaster (Water Replenishment District of Southern California). Meters are tested annually for accuracy.</t>
  </si>
  <si>
    <t>The source of our Estimated Annual Total Water Supply is taken from our four (4) Main San Gabriel Basin groundwater wells and our two (2) Central Basin groundwater wells. As shown in the supporting documents, we have the available capacity and pumping rights to meet our calculated annual potable water demands for WY 2017, 2018, and 2019.</t>
  </si>
  <si>
    <t>Colton City of (492)</t>
  </si>
  <si>
    <t>The City of Colton Water Division will commit to a 15% conservation reduction despite the conservation standard formula representing 0%. The conservation effort will ensure that the San Bernardino Basin Area pumping levels stays at the recommended safe yield. The City of Colton will continue its water conservation efforts to keep the sustainability of the basin.</t>
  </si>
  <si>
    <t>Torrance  City of (753)</t>
  </si>
  <si>
    <t>Modesto City of (428)</t>
  </si>
  <si>
    <t>The City of Modesto will set a target goal for Water Conservation of 25%.  Water levels have been on a consistent downward trend for several years and we believe this level of conservation will prevent significant further draw down of the aquifer and assist in recharge of Modesto's well field.</t>
  </si>
  <si>
    <t>Olivehurst Public Utility District (673)</t>
  </si>
  <si>
    <t>The calculated standard has a built in 100% safety factor, see narrative above and calculations.</t>
  </si>
  <si>
    <t>Valley Center Municipal Water District (758)</t>
  </si>
  <si>
    <t>Data provided by the San Diego County Water Authority.</t>
  </si>
  <si>
    <t>Redding  City of (1034)</t>
  </si>
  <si>
    <t>The City's Urban Water Management Plan is designed to meet the water conservation requirements of SBx7-7.</t>
  </si>
  <si>
    <t>Calaveras County Water District (376)</t>
  </si>
  <si>
    <t>Please see CCWD's water production numbers on Page 10 of the Self Certification Supporting Analysis.</t>
  </si>
  <si>
    <t>Step 1 - Demand</t>
  </si>
  <si>
    <t>Step 2 - Supply</t>
  </si>
  <si>
    <t>Step 3.1 - Conservation Standard</t>
  </si>
  <si>
    <t>Greenfield City of (1016)</t>
  </si>
  <si>
    <t>Kingsburg City of (1018)</t>
  </si>
  <si>
    <t>Big Bear City Community Services District (1045)</t>
  </si>
  <si>
    <t>Population projections and the corresponding demand in water supply are based on the assumed 0.24% annual growth reported in the BBCCSD Urban Water Management Plan.  The R-GPCD continues to decrease annually, averaging 98 R-GPCD from calendar year 2013 to 67 R-GPCD in calendar year 2015.  Our Staff sounds each water source monthly and we review water production in order to respond to changes in supply and demand.  The perennial yield of the basin is estimated at 3000 AFY.</t>
  </si>
  <si>
    <t>Napa  City of (397)</t>
  </si>
  <si>
    <t>Treat and wheel deliveries to neighboring cities of American Canyon and Calistoga are excluded, as those volumes are part of those other agencies' separate contractual entitlements from the State Water Project.</t>
  </si>
  <si>
    <t>State Water Project supplies were entered on the Self-Supplied - Surface water:SWP line of Worksheet 1.  The Department of Water Resources (DWR) is the 'wholesale' supplier but no projection data were received from them by June 15.  The calendar year SWP allocations received in 2013, 2014, 2015 were used for 2017, 2018, 2019 as detailed in the Supporting Analysis document that was uploaded.</t>
  </si>
  <si>
    <t>California Water Service Company Selma (453)</t>
  </si>
  <si>
    <t>California Water Service Company Kern River Valley (472)</t>
  </si>
  <si>
    <t>The figures provided are based on the "Agreement for Extraction, Exchange &amp; Delivery of Banked Groundwater" between the City of Bakersfield and California Water Service Company.  This agreement provides access to up to 500 AF/year to California Water Service.  The water is made available through California Water Service's utilization of its 2800 Acre banked water.</t>
  </si>
  <si>
    <t>Hawthorne  City of (405)</t>
  </si>
  <si>
    <t>Port Hueneme  City of (558)</t>
  </si>
  <si>
    <t>California Water Service Company Antelope Valley (339)</t>
  </si>
  <si>
    <t>California Water Service Company Palos Verdes (491)</t>
  </si>
  <si>
    <t>California Water Service Company Oroville (422)</t>
  </si>
  <si>
    <t>The figures provided are based on the Agreement between Butte County and California Water Service Company for Delivery of Contract PG&amp;E Water through State Water Project Facilities.  This agreement provides access to 3,000 AF/year to California Water Service.  PG&amp;E projects that the full amount of 3,000 AF/year will be available to California Water Service in 2017, 2018, and 2019.</t>
  </si>
  <si>
    <t>California Water Service Company Livermore (476)</t>
  </si>
  <si>
    <t>California Water Service Company Los Altos/Suburban (473)</t>
  </si>
  <si>
    <t>California Water Service Company Hermosa/Redondo (467)</t>
  </si>
  <si>
    <t>California Water Service Company King City (468)</t>
  </si>
  <si>
    <t>Tulare City of (499)</t>
  </si>
  <si>
    <t>See separate Word Doc</t>
  </si>
  <si>
    <t>East Orange County Water District (518)</t>
  </si>
  <si>
    <t>Based upon the General Manager's Report to the Board on Self-Certification (attached), the Board adopted a mandatory 15% conservation level (from Calendar Year 2013) at their June 16, 2016 Meeting.</t>
  </si>
  <si>
    <t>Please note that the document attached below under Worksheet 2 (Legally Binding Document) was uploaded in error; we could not determine a way to delete it.</t>
  </si>
  <si>
    <t>San Fernando  City of (682)</t>
  </si>
  <si>
    <t>Figures based on calendar year Jan. - Dec. totals include MWD purchased water</t>
  </si>
  <si>
    <t>Water allotment calculated by ULARA watermaster</t>
  </si>
  <si>
    <t>Victorville Water District (642)</t>
  </si>
  <si>
    <t>Coastside County Water District (301)</t>
  </si>
  <si>
    <t>Apple Valley Ranchos Water Company (637)</t>
  </si>
  <si>
    <t>The supply amount represents our production allowance from Mojave Basin.  Mojave Water Agency indicates that producers' current free production allowance will be available for the next three years under dry conditions.</t>
  </si>
  <si>
    <t>Liberty Utilities Apple Valley (Apple Valley Ranchos Water Co) intends to urge customers to conserve 10 percent of their average 2013-14 water use, in recognition of the ongoing drought, outdoor water use restrictions and our arid desert climate.  Our Rule 14.1 Water Shortage Contingency Plan, Stage 1, will remain in effect.</t>
  </si>
  <si>
    <t>Downey  City of (542)</t>
  </si>
  <si>
    <t>Lynwood  City of (658)</t>
  </si>
  <si>
    <t>Includes groundwater production and imported water</t>
  </si>
  <si>
    <t>San Gabriel Valley Water Company (544)</t>
  </si>
  <si>
    <t>The Company will retain the previous conservation target of 14% called for by the SWRCB but on a voluntary basis and without surcharges and penalties.  Non-essential and prohibitive water use restrictions will remain in effect pursuant to the Company's CPUC-authorized Rule No. 14-1 Water Shortage Contingency Plan, Stage 1 Water Alert condition.</t>
  </si>
  <si>
    <t>La Palma  City of (603)</t>
  </si>
  <si>
    <t>La Palma intends to maintain a water saving goal of approximately 10% from the average annual demands of calendar years 2013 and 2014 in support of Resolution No. 2034 by the Board of Directors of the Municipal Water District of Orange County declaring a Condition 2 Water Supply Alert and the Metropolitan Water District of Southern California returning to Condition 2 - Water Supply Alert on May 10, 2016 calling for heightened awareness and conservation within its service area.</t>
  </si>
  <si>
    <t>Santa Margarita Water District (604)</t>
  </si>
  <si>
    <t>100% Imported Supply from Metropolitan Water District of Southern California through Municipal Water District of Orange County. See attached "Supporting Analysis &amp; Calculations".</t>
  </si>
  <si>
    <t>Santa Margarita Water District is planning to convert potable dedicated irrigation accounts to recycled water in the amount of 2,500 AF by 2019. This will directly and permenently reduce potable demand by 2,500 AF by 2019. For more information on recycled supply development and post-2014 conservation, see the attached "Supporting Analysis &amp; Calculations".</t>
  </si>
  <si>
    <t>Irvine Ranch Water District (340)</t>
  </si>
  <si>
    <t>IRWD will continue to maintain conservation efforts and require voluntary conservation of up to 10%.  Although IRWD's target is 0% the proposed voluntary conservation is due to the continued Statewide Drought Emergency.</t>
  </si>
  <si>
    <t>Hemet  City of (485)</t>
  </si>
  <si>
    <t>It is the intention of the City to reevaluate its current Water Conservation Plan and update it to ensure phases of the plan incorporate ongoing conservation restrictions related to water waste and allowable days of irrigation.</t>
  </si>
  <si>
    <t>San Bernardino County Service Area 70J (1037)</t>
  </si>
  <si>
    <t>Alhambra  City of (636)</t>
  </si>
  <si>
    <t>The City plans to stay in it's stage III water conservation plan with a minimum level of 12%.</t>
  </si>
  <si>
    <t>San Gabriel Valley Fontana Water Company (572)</t>
  </si>
  <si>
    <t>The Company will retain the previous conservation target of 26% called for by the SWRCB but on a voluntary basis and without surcharges and penalties.  Non-essential and prohibitive water use restrictions will remain in effect pursuant to the Companys CPUC-authorized Rule No. 14.1 Water Shortage Contingency Plan, Stage 1 Water Alert condition.</t>
  </si>
  <si>
    <t>Groveland Community Services District (739)</t>
  </si>
  <si>
    <t>GCSD's Board has adopted a Stage 2 of Water Conservation which has a projected use reduction of approximately 20 percent.</t>
  </si>
  <si>
    <t>Castaic Lake Water Agency Santa Clarita Water Division (443)</t>
  </si>
  <si>
    <t>Santa Maria  City of (378)</t>
  </si>
  <si>
    <t>The City added 800 acre-feet to the actual total water produced in 2013 and 2014 to account for the City's obligation to provide 800 acre-feet per year to the Nipomo Community Services District in the upcoming 3 years</t>
  </si>
  <si>
    <t>Lemoore  City of (762)</t>
  </si>
  <si>
    <t>Unsure of target goal as City Of Lemoore Council will need to approve targeted reduction</t>
  </si>
  <si>
    <t>East Bay Municipal Utilities District (291)</t>
  </si>
  <si>
    <t>Source: O&amp;M's Statistical Reports for FY12-FY15 - 'Distribution System Input'</t>
  </si>
  <si>
    <t>Galt  City of (772)</t>
  </si>
  <si>
    <t>Please note that we were an un-metered system (except commercial) until March 2016.  At that time, a new water rate structure was implemented along with reading of the meters citywide.  We expect the meter project should reduce our annual production rates below what is calculated here.</t>
  </si>
  <si>
    <t>See attachments.</t>
  </si>
  <si>
    <t>Please note that we were an un-metered system (except commercial) until March 2016.  At that time, a new water rate structure was implemented along with reading of the meters citywide.  We expect the meter project should reduce our annual production rates below what is calculated here.  We are also intending on maintaining a restricted outside watering schedule of 3 days per week.  The City's Water Conservation Officers will continue to educate and regulate users.</t>
  </si>
  <si>
    <t>San Clemente  City of (633)</t>
  </si>
  <si>
    <t>The City of San Clemente expanded its recycled water system in 2015. Future projections of recycled water supply and reductions in potable water demand due to customer sites converting to recycled water are projected at 200 AFY for FY 2017, 300 AFY for FY 2018, and 400 AFY for FY 2019.</t>
  </si>
  <si>
    <t>Due to the ongoing drought and the uncertainty of future allocations, the City of San Clemente continues to promote water conservation.  The City is in a Level 2 Water Alert which actively promotes 10-20% suggested conservation.</t>
  </si>
  <si>
    <t>Burlingame  City of (303)</t>
  </si>
  <si>
    <t>per SFPUC billing, adjusted for water transfers</t>
  </si>
  <si>
    <t>supply availability per SFPUC</t>
  </si>
  <si>
    <t>Ventura County Waterworks District No. 8 (620)</t>
  </si>
  <si>
    <t>Escondido  City of (380)</t>
  </si>
  <si>
    <t>Poway  City of (734)</t>
  </si>
  <si>
    <t>Water supplies based on calendar year per calculations done by the San Diego County Water Authority. The City also has the ability to obtain up to 750 AF per year of non-potable recycled from the City of San Diego.</t>
  </si>
  <si>
    <t>Please see the San Diego County Water Authority's Worksheet 2.</t>
  </si>
  <si>
    <t>Sweetwater Authority (696)</t>
  </si>
  <si>
    <t>We used calendar years</t>
  </si>
  <si>
    <t>Moulton Niguel Water District (574)</t>
  </si>
  <si>
    <t>The District is 100% dependent on imported water for potable water supplies from the Metropolitan Water District of Southern California via the Municipal Water District of Orange County.  The District is expecting to develop over 250 AF/Year in direct recycled water use above 2014 levels.</t>
  </si>
  <si>
    <t>Tracy  City of (565)</t>
  </si>
  <si>
    <t>See pg. 24 of the 2015 Tracy Urban Water Management Plan (UWMP)</t>
  </si>
  <si>
    <t>See Worksheet #1</t>
  </si>
  <si>
    <t>The City will be reducing its Phase IV restrictions in early July upon Council approval to Stage 1 of the 2015 UWMP.  The conservation savings should be 0 - 10%.</t>
  </si>
  <si>
    <t>Arcata  City of (621)</t>
  </si>
  <si>
    <t>Diablo Water District (561)</t>
  </si>
  <si>
    <t>Visit: www.diablowater.org/watersupply/2016selfcert/production-data.xlsx for water production and demand data. Visit: www.diablowater.org and click on the Self-Certifies Water Supply button to access links to all water supply, groundwater level and demand data and analysis.</t>
  </si>
  <si>
    <t>Link to wholesaler supply information is: www.ccwater.com/WSIJune2016 . Link to Diablo Water District local groundwater supply historical data is: www.diablowater.org/watersupply/2016selfcert/production-data.xlsx . Supply and Demand Stress Test data and calculation spreadsheet can be found at: www.diablowater.org/watersupply/2016selfcert/13-14-Demands.xlsx . A conservative 730 AF/yr from groundwater was used in the analysis even though 736 AF/yr to 965 AF/yr were pumped between 2013 and 2015.</t>
  </si>
  <si>
    <t>District has informed its customers that it is still enforcing the State prohibitions on water waste.</t>
  </si>
  <si>
    <t>Los Angeles Department of Water and Power (309)</t>
  </si>
  <si>
    <t>These are the same production numbers reported to SWRCB  previously. LADWP has also included a resilience supply analysis in the supporting documentation that includes the permanent  reduction of water demand due to conservation hardware savings and new recycled water accounts.</t>
  </si>
  <si>
    <t>Lake Hemet Municipal Water District (327)</t>
  </si>
  <si>
    <t>WY 2019 based on groundwater levels in Canyon Sub-basin to be too low to allow pumping per Canyon Operating Plan.</t>
  </si>
  <si>
    <t>Citrus Heights Water District (302)</t>
  </si>
  <si>
    <t>Projected surface water supply data provided by San Juan Water District Wholesale  www.sjwd.org</t>
  </si>
  <si>
    <t>Citrus Heights Water District is asking customers for a voluntary 5%-10% water reduction as compared to 2013</t>
  </si>
  <si>
    <t>Monte Vista Water District (330)</t>
  </si>
  <si>
    <t>Stockton  City of (596)</t>
  </si>
  <si>
    <t>Based on what was reported in the DRINC Portal</t>
  </si>
  <si>
    <t>Ground Water - 23,100 AFWoodbridge ID - 5,000 AF/ 4,500 AFStockton East WD - 6,000 AFDelta Water Supply - 28,600/29,100 AF based on Application 30531A</t>
  </si>
  <si>
    <t>The City of Stockton is staying with the Stockton Municipal Code 13.28.050 which is in compliance with the State Water Resources Control Board's emergency restriction.</t>
  </si>
  <si>
    <t>Sacramento  City of (471)</t>
  </si>
  <si>
    <t>City of Sacramento City Council directed staff on 6/21/2016 to maintain stage 2 water shortage status which targets 20-30% savings</t>
  </si>
  <si>
    <t>Golden State Water Company West Orange (712)</t>
  </si>
  <si>
    <t>Humboldt Community Service District (553)</t>
  </si>
  <si>
    <t>Annual potable water demands provided by SCADA generated production reports.  Includes water from HCSD groundwater well and water imported from HBMWD.</t>
  </si>
  <si>
    <t>Total supply includes HBMWD wholesaler self-certification data (2768 AF/yr) and the HCSD groundwater pumping capability at the Spruce Point Well (710 AF/yr).</t>
  </si>
  <si>
    <t>Laguna Beach County Water District (591)</t>
  </si>
  <si>
    <t>On January 20, 2016, the District entered into a contract with the Orange County Water District to produce 2,025 acre-feet per year of groundwater from the OCWD Basin. This new groundwater source is referenced in OCWD's wholesaler supply assessment located at http://www.ocwd.com/media/4313/urban-water-wholesaler-supply-information-_ocwd_revised-updated-june-17-2016.pdf</t>
  </si>
  <si>
    <t>The District is requesting 10-15 percent reduction in water use from customers.</t>
  </si>
  <si>
    <t>Carpinteria Valley Water District (656)</t>
  </si>
  <si>
    <t>These values DO NOT include agricultural water demand and CII water demand.</t>
  </si>
  <si>
    <t>We plan to continue to request ~ 20% conservation (from 2013 demand) from all non-agricultural customers.</t>
  </si>
  <si>
    <t>American Canyon City of (537)</t>
  </si>
  <si>
    <t>Expanded Recycled Water System irrigation use.</t>
  </si>
  <si>
    <t>Stage 1, 10% voluntary reduction to reduce water use and water waste, protect future supply.</t>
  </si>
  <si>
    <t>Rancho California Water District (407)</t>
  </si>
  <si>
    <t>Chino Hills  City of (660)</t>
  </si>
  <si>
    <t>Burbank  City of (388)</t>
  </si>
  <si>
    <t>Orchard Dale Water District (675)</t>
  </si>
  <si>
    <t>North Coast County Water District (669)</t>
  </si>
  <si>
    <t>Through the District's recycled water program, select large landscapes are irrigated with reclaimed water. Recycled water is also available for residential customers to use via the residential recycled water fill station.</t>
  </si>
  <si>
    <t>The District will continue to request a 10% voluntary cutback from all customers.</t>
  </si>
  <si>
    <t>Arvin Community Services District (1004)</t>
  </si>
  <si>
    <t>San Francisco Public Utilities Commission (368)</t>
  </si>
  <si>
    <t>The San Francisco Public Utilities Commission is asking for a voluntary 10% system-wide reduction over a 2013 baseline.  This applies to both our Retail and Wholesale Customers.  We are encouraging the continued wise use of water since our system storage has not completely re-filled.</t>
  </si>
  <si>
    <t>Discovery Bay Community Services District (1012)</t>
  </si>
  <si>
    <t>Town of Discovery Bay Community Services District has established a conservation goal of 15-20% reduction from there 2013 water usage. This goal will help achieve the 2020 water usage target, presented in the District's 2010 Urban Water Management Plan</t>
  </si>
  <si>
    <t>Alameda County Water District (403)</t>
  </si>
  <si>
    <t>Golden State Water Company Cowan Heights (641)</t>
  </si>
  <si>
    <t>Mesa Water District (605)</t>
  </si>
  <si>
    <t>Beaumont-Cherry Valley Water District (760)</t>
  </si>
  <si>
    <t>BCVWD will continue to enforce water waste prohibitions and impose penalties for repeat offenses in accordance with BCVWD Regulations.</t>
  </si>
  <si>
    <t>Valley County Water District (687)</t>
  </si>
  <si>
    <t>Higher savings target is 16%.  Calculated based on 2015 demand / Average of 2013/2014.</t>
  </si>
  <si>
    <t>Golden State Water Company S San Gabriel (771)</t>
  </si>
  <si>
    <t>Golden State Water Company S Arcadia (662)</t>
  </si>
  <si>
    <t>Trabuco Canyon Water District (424)</t>
  </si>
  <si>
    <t>Golden State Water Company San Dimas (666)</t>
  </si>
  <si>
    <t>Golden State Water Company Claremont (702)</t>
  </si>
  <si>
    <t>Golden State Water Company Bay Point (767)</t>
  </si>
  <si>
    <t>Golden State Water Company Barstow (705)</t>
  </si>
  <si>
    <t>Golden State Water Company Orcutt (773)</t>
  </si>
  <si>
    <t>Golden State Water Company Simi Valley (710)</t>
  </si>
  <si>
    <t>Pico Water District (747)</t>
  </si>
  <si>
    <t>Dublin San Ramon Services District (307)</t>
  </si>
  <si>
    <t>see documentation from Zone 7 Water Agency (attached)</t>
  </si>
  <si>
    <t>Per DSRSD Board of Directors action on June 21, 2016 DSRSD will impose a voluntary potable water conservation standard of 10%.  DSRSD recognizes the urgent need to conserve the potable water supply in the state of California and will voluntarily impose a standard of 10% in order to ensure potable water supply for the potable users in the state.</t>
  </si>
  <si>
    <t>Susanville  City of (778)</t>
  </si>
  <si>
    <t>Santa Rosa  City of (315)</t>
  </si>
  <si>
    <t>Water Supply from Sonoma County Water Agency, the City's water wholesaler, and the City's groundwater wells.  Per the water supply analysis, this is the minimum amount of water supply available to Santa Rosa over the next three years from both sources.  Additional water supply is available in Lake Sonoma that the Water Agency could provide and additional groundwater is available that the City could pump.</t>
  </si>
  <si>
    <t>Oildale Mutual Water Company (538)</t>
  </si>
  <si>
    <t>Vacaville  City of (534)</t>
  </si>
  <si>
    <t>City has adopted Stage 1 of the City of Vacaville's Urban Water Shortage Contingency Plan calling for voluntary 20% conservation</t>
  </si>
  <si>
    <t>Fairfield  City of (1014)</t>
  </si>
  <si>
    <t>Fairfield will continue our conservation programs in a concerted fashion.  We will continue to staff our Water Enforcement position to meet the state emergency regulations.  Fairfield will also continue to monitor water use efficiency to extend water resources and meet our 20x2020 conservation targets.</t>
  </si>
  <si>
    <t>Nipomo Community Services District (406)</t>
  </si>
  <si>
    <t>Data pulled from DWR Form 38 for Metered Water Deliveries</t>
  </si>
  <si>
    <t>Riverbank  City of (1036)</t>
  </si>
  <si>
    <t>Refer to supporting documents</t>
  </si>
  <si>
    <t>Anticipated static and pumping groundwater levels were compared to well construction characteristics, namely the depth to pump bowl intake and depth to uppermost screen. It is recommended that the static and pumping groundwater levels remain approximately 8-10 feet above the pump intake and the uppermost screen in order to avoid cascading water and associated pumping issues such as cavitation.</t>
  </si>
  <si>
    <t>Elsinore Valley Municipal Water District (325)</t>
  </si>
  <si>
    <t>The supporting document file provides with a summary of the different water supply sources for EVMWD.</t>
  </si>
  <si>
    <t>Joshua Basin Water District (431)</t>
  </si>
  <si>
    <t>Oceanside  City of (409)</t>
  </si>
  <si>
    <t>For reporting and regulatory purposes, we are not recording a higher conservation standard than is required by the State.  For purposes of promoting efficiency in water use, our agency will return to a level 1 drought response of Drought Watch, calling for a voluntary 10% conservation.</t>
  </si>
  <si>
    <t>Crescenta Valley Water District (541)</t>
  </si>
  <si>
    <t>The District is still restricting outdoor watering to three days per week.  This represents a projected voluntary target conservation of approximately 30% as per the District UWMP.</t>
  </si>
  <si>
    <t>Anaheim  City of (324)</t>
  </si>
  <si>
    <t>For detail, see supporting calculations, Production tab</t>
  </si>
  <si>
    <t>Casitas Municipal Water District (346)</t>
  </si>
  <si>
    <t>Casitas plans to conserve 30% of 1989 water usage. For direct urban customers this compares to a 30% reduction from calendar year 2013. Casitas is also reducing allocations by 10% for all agricultural and some resale agencies which is roughly 20% less than 2103 levels. Casitas Urban Water Management Plan provides for demand reductions based on lake supply conditions. Provided the water supply and demand scenarios for water years 2018 and 2019, casitas is expected to reduce demand by 50%.</t>
  </si>
  <si>
    <t>Healdsburg  City of (1017)</t>
  </si>
  <si>
    <t>Suburban Water Systems Whittier/La Mirada (700)</t>
  </si>
  <si>
    <t>Suburban Water System's voluntary conservation standard will be 10%.  It plans on meeting this target by moving to Stage 1 in its Water Shortage Contingency Plan which limits irrigation of outside landscapes or turf with potable water to three days per week.</t>
  </si>
  <si>
    <t>Suburban Water Systems San Jose Hills (697)</t>
  </si>
  <si>
    <t>Pasadena  City of (745)</t>
  </si>
  <si>
    <t>Any required conservation standard proposed by Pasadena Water and Power that is higher than the mandatory conservation standard (i.e. stress test) will be subject to review and approval by the Pasadena City Council.</t>
  </si>
  <si>
    <t>Camrosa Water District (310)</t>
  </si>
  <si>
    <t>The Camrosa Board of Directors will consider on June 23, 2016 staff's recommendation to drop from a Stage Three Water Supply Shortage to a Stage Two, while maintaining a call for a voluntary 15-percent reduction from the 2013 baseline.</t>
  </si>
  <si>
    <t>Los Angeles County Public Works Waterworks District 29 (381)</t>
  </si>
  <si>
    <t>A portion of the water supply for District 29 is being transferred to another water supplier (Marina del Rey Water System - i.e. small water system) outside of its service area. This transferred water has been removed from the reported total monthly potable water production. The Marina del Rey Water System supply was 1403 AF and 1385 AF in 2013 and 2014 respectively.</t>
  </si>
  <si>
    <t>See Worksheet 1 (attached), the District purchases water from the West Basin Municipal Water District (West Basin). West Basins primary supply source is imported water from Metropolitan Water District of Southern California (Metropolitan).</t>
  </si>
  <si>
    <t>City of Big Bear Lake Dept of Water &amp; Power (585)</t>
  </si>
  <si>
    <t>Lakeside Water District (655)</t>
  </si>
  <si>
    <t>South Gate  City of (460)</t>
  </si>
  <si>
    <t>Attachment 1, Demand-Production Tab</t>
  </si>
  <si>
    <t>See Attachment 1, Supplies Tab and CBMWD Tab for available additional MWD Water if required.  Water Replenishment District of Southern California (WRD), as groundwater manager for the Central and West Coast Basins, confirms the availability of groundwater for water suppliers within our service area for the three-year period of WY 2017 through WY 2019 (and beyond) specified in the SWRCB (Attachment 1, WRD Tab).</t>
  </si>
  <si>
    <t>San Jacinto  City of (688)</t>
  </si>
  <si>
    <t>The City of San Jacinto has additonal Base Production Rights under the adjudicated basin, Federal Stipulated Judgement, regulated by the Watermaster.</t>
  </si>
  <si>
    <t>Continue with the Water Conservation, City Ordinance, Level 2 Water Supply shortage.</t>
  </si>
  <si>
    <t>Azusa  City of (635)</t>
  </si>
  <si>
    <t>Sunny Slope Water Company (693)</t>
  </si>
  <si>
    <t>Main San Gabriel Basin allowable pumping rights at 1,466.01 AF with cyclic storage.  Raymond Basin allowable pumping rights at 1,558 AF with cyclic storage.  Respective cyclic storage is projected assuming it is not replenished.</t>
  </si>
  <si>
    <t>Although the Conservation Standard is 0%, we intend to continue implementing a 10% conservation standard.  We will revisit this percentage target in January 2017 to determine if a change is needed.</t>
  </si>
  <si>
    <t>Riverside Highland Water Company (683)</t>
  </si>
  <si>
    <t>See supporting analysis and calculations.</t>
  </si>
  <si>
    <t>Riverside Highland Water Company will continue to stress conservation. We raised the rates by 8.5% and compressed our conservation tiers by 20% at the beginning of June 2016. We will also continue to monitor excessive use through our automated meters and physically monitoring water habits.</t>
  </si>
  <si>
    <t>Sierra Madre  City of (724)</t>
  </si>
  <si>
    <t>Long Beach  City of (295)</t>
  </si>
  <si>
    <t>East Niles Community Service District (527)</t>
  </si>
  <si>
    <t>Source: ENCSD Public Water Systems Statistics 2013/2014</t>
  </si>
  <si>
    <t>Anderson City of (1003)</t>
  </si>
  <si>
    <t>Rincon Del Diablo Municipal Water District (681)</t>
  </si>
  <si>
    <t>Please see regional supply information provided by the SDCWA as our wholesale supplier.  All information has been uploaded to their website at: http://www.sdcwa.org/regional-supply-sufficiency</t>
  </si>
  <si>
    <t>SDCWA providing this information.  See note above for SDCWA website link.</t>
  </si>
  <si>
    <t>Palo Alto  City of (749)</t>
  </si>
  <si>
    <t>10% voluntary potable water use reduction as requested by the SFPUC</t>
  </si>
  <si>
    <t>Desert Water Agency (720)</t>
  </si>
  <si>
    <t>Please see attached worksheets and supplements. Our State Water Project delivery projection was made based on calendar year deliveries that were converted to water years because monthly data was not available.</t>
  </si>
  <si>
    <t>DWA is asking customers to save 10-13% compared to 2013. The percentage is based on an analysis done to determine conservation needed to attain long-term sustainability. We are confident that our customers will continue to make conservation gains. On June 7, our Board of Directors authorized the addition of two watering days per week during the summer months. There are currently two days per week that outdoor watering is still prohibited.</t>
  </si>
  <si>
    <t>Truckee-Donner Public Utilities District (427)</t>
  </si>
  <si>
    <t>Annual Potable Water Production data based on manually collected reads from water production meters located at groundwater well heads.</t>
  </si>
  <si>
    <t>Total Available Water Supply reported is based on the current total pumping capacity of the Truckee Donner Public Utility District's potable groundwater wells.  The wells produce water from the Martis Valley Groundwater Basin, with an estimated total storage capacity of 484,000 acre/ft., and annual recharge in excess of 29,000 acre/ft.</t>
  </si>
  <si>
    <t>The Truckee Donner Public Utility District shall implement a 10% water conservation standard.  This standard was chosen to support the District's efforts in continued water conservation and sustainability, and the consistent reduction in total potable water production over the last 10 years.</t>
  </si>
  <si>
    <t>Paramount  City of (743)</t>
  </si>
  <si>
    <t>Lakewood  City of (657)</t>
  </si>
  <si>
    <t>Yucaipa Valley Water District (469)</t>
  </si>
  <si>
    <t>Please see the Supporting Analysis and Calculations attachment dated June 20, 2016 for additional information.  The Yucaipa Valley Water District took a very conservative approach in the development of the available water supplies in order to proactively secure and conserve water supplies for possible future sever/extreme drought conditions.</t>
  </si>
  <si>
    <t>Hesperia Water District City of (573)</t>
  </si>
  <si>
    <t>Carlsbad Municipal Water District (650)</t>
  </si>
  <si>
    <t>CMWD will continue the Carlsbad Conserves campaign. The program will continue to promote water conservation, using water wisely, and limited watering days and times. Carlsbad continues to convert customers from potable irrigation meters to recycled water irrigation meters where recycled water is available.</t>
  </si>
  <si>
    <t>West Kern Water District (477)</t>
  </si>
  <si>
    <t>California-American Water Company Monterey District (607)</t>
  </si>
  <si>
    <t>See the Worksheet 1 Supporting Document tab in the "Supporting Analysis- Monterey" Excel file.Water Availability data and Total Usable Storage values were supplied by the Monterey Peninsula Water Management District (MPWMD).</t>
  </si>
  <si>
    <t>Due to SWRCB WR 95-10 and SWRCB Order WR 2009-0060 (Cease and Desist Order), we are choosing to continue to use the 8% reduction target set by the State in response to the Emergency Drought Regulation.</t>
  </si>
  <si>
    <t>Lincoln  City of (548)</t>
  </si>
  <si>
    <t>Davis  City of (610)</t>
  </si>
  <si>
    <t>Surface water supply assumptions are available through our wholesale water supplier, the Woodland-Davis Clean Water Agency.</t>
  </si>
  <si>
    <t>The City intends to retain all current state and local end-user restrictions through the term of the current emergency regulation. While there is no required conservation standard, the City has a voluntary 20% reduction goal.</t>
  </si>
  <si>
    <t>Turlock  City of (298)</t>
  </si>
  <si>
    <t>The City of Turlock will strive for a 20% water conservation standard, despite the newly calculated conservation target being 16%.  The City of Turlock feels it is important to continue water conservation.  At the highest peak of production there were 24 wells in service and currently there are 19 in service, which limits the ability to supply water.</t>
  </si>
  <si>
    <t>Rowland Water District (349)</t>
  </si>
  <si>
    <t>Valley Water Company (717)</t>
  </si>
  <si>
    <t>California-American Water Company San Diego District (593)</t>
  </si>
  <si>
    <t>The City of San of Diego wholesales water to California American Waters San Diego district. It is San Diegos only wholesale customer. Per section 865(a)(5) the city was not required to post on its website total water available using the above scenario. However, California American Water was able to obtain this information and has attached that email as validation.</t>
  </si>
  <si>
    <t>Roseville  City of (393)</t>
  </si>
  <si>
    <t>The City of Roseville is asking our water customers to voluntarily conserve 10% as compared to 2013.  We are providing messaging to continue to use water efficiently and to encourage three-day per week watering schedules.</t>
  </si>
  <si>
    <t>Worksheet 2 is not applicable to the City of Roseville.</t>
  </si>
  <si>
    <t>Shasta Lake  City of (1042)</t>
  </si>
  <si>
    <t>City staff believes residents will exceed the 10% conservation standard.</t>
  </si>
  <si>
    <t>Merced  City of (570)</t>
  </si>
  <si>
    <t>See attached 5 Excel pages.  Tabs are labeled.  They include applicable annual pumping data and an excerpt from our 2010 Urban Water Management Plan</t>
  </si>
  <si>
    <t>We will continue to aim for the "20% reduction by 2020" R-GPDC as mandated by the State.</t>
  </si>
  <si>
    <t>Soledad City of (359)</t>
  </si>
  <si>
    <t>All data was supplied by Monterey County Water Resources Agency using their Salinas Valley Intergrated Ground and Surface Water Model. ** Please note MCWRA refuse to give out any documents in any format except PDF documents. Link/ www.mcwra.co.monterey.ca.us</t>
  </si>
  <si>
    <t>Monterey Park  City of (1027)</t>
  </si>
  <si>
    <t>Monthly production totals for each year are attached.</t>
  </si>
  <si>
    <t>Worksheet 1 is attached accordingly, also calculations are included.</t>
  </si>
  <si>
    <t>Alco Water Service (1002)</t>
  </si>
  <si>
    <t>Ventura County Waterworks District No 1 (647)</t>
  </si>
  <si>
    <t>McKinleyville Community Service District (550)</t>
  </si>
  <si>
    <t>Montebello Land and Water Company (552)</t>
  </si>
  <si>
    <t>Georgetown Divide Public Utilities District (726)</t>
  </si>
  <si>
    <t>we sell irrigation water also but can stop the season or cancel it all together if needed.</t>
  </si>
  <si>
    <t>we still need to comply with 20% by 2020</t>
  </si>
  <si>
    <t>Gilroy  City of (540)</t>
  </si>
  <si>
    <t>City  Council to review water conservation goals in July 2016 and future.</t>
  </si>
  <si>
    <t>Benicia  City of (510)</t>
  </si>
  <si>
    <t>Based on the DWR Public Water System Statistics report</t>
  </si>
  <si>
    <t>Based on the Benicia Source Water Forecast using SWP and Solano Project availability, with accounting for SWP carryover water from unused Table A allocation.</t>
  </si>
  <si>
    <t>The City's potable water customers demonstrated an aggressive water conservation campaign in 2014-2016, conserving on average for these three years 25% of water as compared to 2013.  The Public Works Department will consider rescinding the Outdoor Water Restrictions, but many consumers have made a continued effort to conserve water.</t>
  </si>
  <si>
    <t>Orange  City of (626)</t>
  </si>
  <si>
    <t>Rubio Canyon Land and Water Association (684)</t>
  </si>
  <si>
    <t>Our water conservation restrictions will remain as follows;Two (2) day a week outside irrigationAll State Conservation RestrictionsIn the winter of 2017 we will revisit the irrigation restrictions</t>
  </si>
  <si>
    <t>Rosamond Community Service District (731)</t>
  </si>
  <si>
    <t>Clovis  City of (526)</t>
  </si>
  <si>
    <t>Includes Fresno Irrigation District Kings River allocation, Waldron and Boswell groundwater banking projects and local groundwater.</t>
  </si>
  <si>
    <t>Manhattan Beach  City of (654)</t>
  </si>
  <si>
    <t>Lake Arrowhead Community Services District (584)</t>
  </si>
  <si>
    <t>We will maintain the same standard, between 10% - 15% Because the city has maintained this standard, we find that it would could accommodate the city as well as our customers to its needs and supply.</t>
  </si>
  <si>
    <t>Shafter  City of (364)</t>
  </si>
  <si>
    <t>Figures provided are for calendar years.</t>
  </si>
  <si>
    <t>Effective July 1, 2016, the San Jose City Council approved a conservation goal of 20% savings over baseline 2013.  This is in recognition of the need to replenish depleted groundwater and the state of the Sierra snow pack.</t>
  </si>
  <si>
    <t>Twentynine Palms Water District (674)</t>
  </si>
  <si>
    <t>We have not set a specific target and were waiting for the CPUC decision prior to going to Council with recommendations so the City can be consistent between the three water purveyors serving our residents. Staff will recommend that we move from two days a week for outside irrigation to three days a week and continue with our current outreach efforts. We will be going to Council on July 14 and are working with the other water providers to determine if we want to set a target conservation level.</t>
  </si>
  <si>
    <t>San Lorenzo Valley Water District (1039)</t>
  </si>
  <si>
    <t>San Juan Water District-Retail plans to stay in a Stage 2 drought condition requesting a 10% reduction from its customers.</t>
  </si>
  <si>
    <t>Ukiah  City of (698)</t>
  </si>
  <si>
    <t>Even if all sources were curtailed by 50%, City of Ukiah would still have ample supply (See Table 7-4 2015 UWMP)</t>
  </si>
  <si>
    <t>Orange Vale Water Company (305)</t>
  </si>
  <si>
    <t>Perris City of (1031)</t>
  </si>
  <si>
    <t>La Verne  City of (722)</t>
  </si>
  <si>
    <t>Cloverdale (1052)</t>
  </si>
  <si>
    <t>While the City does not plan on implementing mandatory water use reductions, it will continue to promote voluntary water conservation practices.  Additionally, some conservation actions taken during the recent drought will remain in place (such as fixture and landscape replacements) and will serve to continue water use reductions.</t>
  </si>
  <si>
    <t>Brea  City of (494)</t>
  </si>
  <si>
    <t>Triunfo Sanitation District / Oak Park Water Service (519)</t>
  </si>
  <si>
    <t>Goals set per 20% x 2020 as 2550 AFY.Document provided as legally binding document is supplied for its notes/comments - basis for values utilized.</t>
  </si>
  <si>
    <t>Above information per wholesaler submittal (CMWD).</t>
  </si>
  <si>
    <t>In a letter dated May 13, 2016, Cal Water advocated for the inclusion of a 10% conservation floor for water suppliers choosing the self-certification option with water suppliers with existing conservation standards of 9% or less continuing at their existing standard.  Our completed analysis, utilizing the methodology provided by the State Water Board, confirms that short-term supplies over the next three years are sufficient to meet projected demand.  While a conservation floor was ultimately not included in the Emergency Regulation, we believe that providing a 10% reduction target reinforces messaging of continuing drought conditions and the need to continue to use water efficiently.</t>
  </si>
  <si>
    <t>Banning  City of (506)</t>
  </si>
  <si>
    <t>1.1 MAF Per. Maximum Perenniel Yield Estimates for the Banning and Cabazon Storage Units and Availible Water Supply from the Beaumont Basin (Geosience). Total Safe Yield 11,073 AF 2015 UWMP. Current Max Pumping Capacity28,752 AF (Dry year capacity).</t>
  </si>
  <si>
    <t>Santa Paula  City of (751)</t>
  </si>
  <si>
    <t>City's adjudicated allocation is 5,488 AFY; Transfer with Farmers Irrigation Company is 500 AFY ( see Worksheet 1).</t>
  </si>
  <si>
    <t>The City has a high quality, local and reliable supply. The City desires to contribute to the overall reduction in State water demand as per Governor's Brown Executive Orders. The City desires a water conservation standard to meet the requirements of the State Water Conservation Act of 2009. Therefore, the City proposes a water conservation standard of 10 percent based on gross annual water demand.</t>
  </si>
  <si>
    <t>Watsonville  City of (341)</t>
  </si>
  <si>
    <t>Please see "Supporting Documentation" spreadsheet attached.</t>
  </si>
  <si>
    <t>The City of Watsonville is already meeting the States goal of 20% water reduction by 2020.  The gallons per capita per day (gpcd) target calculated for our Central Coast region is 117 gpcd.  The City will continue conservation programs and practices to ensure that it remains below the gpcd target for the Central Coast.</t>
  </si>
  <si>
    <t>Assumptions: In 2017 will save 1% in water consumption from 2014 totalsIn 2018 will save 1% in water consumption from 2017 totalsIn 2019 will save 1% in water consumption from 2018 totals</t>
  </si>
  <si>
    <t>Wasco  City of (497)</t>
  </si>
  <si>
    <t>The City of Wasco is setting a stricter water conservation goal of 25% for the next three years to help preserve our ground water supply.</t>
  </si>
  <si>
    <t>Brawley  City of (372)</t>
  </si>
  <si>
    <t>The raw water provided is limited by the size of the delivery gate. Gate can deliver 30 acre foot dat</t>
  </si>
  <si>
    <t>City is following the guidelines set by the emergency drought order issued by State of California</t>
  </si>
  <si>
    <t>Estero Municipal Improvement District (517)</t>
  </si>
  <si>
    <t>2013 and 2014 Production figures are from wholesale purchases from SFPUC.</t>
  </si>
  <si>
    <t>Water availability figures from the Certification provided by SFPUC - Table 2</t>
  </si>
  <si>
    <t>Water Board staff entered supply values from Worksheet 1.</t>
  </si>
  <si>
    <t>Based on the projected drop in static water level over the next 3 years there will still be over 10 feet of drawdown freeboard available. This is based on a 1.32 foot drawdown at a continuous pumping rate 4.1 MGD as observed in a water collector study performed in 2010. This pumping rate is 142% higher than the maximum daily 2013 pumping total of 2.88 MGD, with still over 10 feet of draw down available. This is the justification for the conclusion that there will be no anticipated shortfall over the next 3-years given the model drought and assumptions.</t>
  </si>
  <si>
    <t>The Big Bear City Community Services District intends to stay in a Stage 2 water conservation standard in order maintain a valley wide conservation message. This stage includes alternating odd/even days between 6 p.m. and 9 a.m. for outdoor watering.  We require no outdoor watering October 1st to April 1st.  To see our full water conservation ordinance, please go tohttp://www.bbccsd.org/index.php/17-service-announcements/121-stage-2-water.  We are currently averaging a 17 % monthly reduction in water use.  In order to move from a stage 2 conservation to a stage 1 conservation, BBCCSD will be reviewing our precipitation, water levels, supply and demand in Spring of 2017 in order to adjust our water conservation accordingly.</t>
  </si>
  <si>
    <t>In a letter dated May 13, 2016, Cal Water advocated for the inclusion of a conservation floor for water suppliers choosing the self-certification option.  Our completed analysis, utilizing the methodology provided by the State Water Board, confirms that short-term supplies over the next three years are sufficient to meet projected demand.  While a conservation floor was ultimately not included in the Emergency Regulation, we have provided a 9% reduction target that reinforces messaging of continuing drought conditions and the need to continue to use water efficiently.  This reduction target is consistent with the local request being adopted by the City of Bakersfield.</t>
  </si>
  <si>
    <t>In a letter dated May 13, 2016, Cal Water advocated for the inclusion of a 10% conservation floor for water suppliers choosing the self-certification option with water suppliers with existing conservation standards of 9% or less continuing at their existing standard.  Our completed analysis, utilizing the methodology provided by the State Water Board, confirms that short-term supplies over the next three years are sufficient to meet projected demand.  While a conservation floor was ultimately not included in the Emergency Regulation, we believe that providing a 8% reduction target reinforces messaging of continuing drought conditions and the need to continue to use water efficiently.</t>
  </si>
  <si>
    <t>In a letter dated May 13, 2016, Cal Water advocated for the inclusion of a 10% conservation floor for water suppliers choosing the self-certification option with water suppliers with existing conservation standards of 9% or less continuing at their existing standard.  Our completed analysis, utilizing the methodology provided by the State Water Board, confirms that short-term supplies over the next three years are sufficient to meet projected demand.  While a conservation floor was ultimately not included in the Emergency Regulation, we believe that providing a 20% reduction target reinforces messaging of continuing drought conditions and the need to continue to use water efficiently.  This 20% reduction request is also consistent with regional messaging.</t>
  </si>
  <si>
    <t>Sweetwater Springs Water District Interconnection Agreement - Water is purchased as a retail water customer.  Sweetwater Springs has not indicated that supply availability will be limited in the next three years.  The figure provided is based on the average amount of water purchsed during the 2013-15 timeframe.  Yolo County Flood Control &amp; Water Conservation District Agrrement for Sale of Water - Cal Water pumps water from Clear Lake through an agreement with Yolo County Flood Control &amp; Conservation District.  Between 2013 and 2015 lake levels dropped 7.0 feet Rumsey's from a high of 6.2 feet Rumsey's to a low of -0.8 feet Rumsey's.  The current lake level is 5.6 feet Rumsey's.  If we assume the same hydrology for the next three years as 2013-15 the lake level may drop up to 7.0 feet Rumsey's.  From the current level of 5.6 feet Rumsey's this would project a low lake level of -1.4 feet Rumsey's which is well above the lowest operating level of -4.5 feet Rumsey's.  The supply figure provided is based on the average amount of water pumped during the 2013-15 as the lake level is projected to be above the lowest operating level.</t>
  </si>
  <si>
    <t>In a letter dated May 13, 2016, Cal Water advocated for the inclusion of a 10% conservation floor for water suppliers choosing the self-certification option with water suppliers with existing conservation standards of 9% or less continuing at their existing standard.  Our completed analysis, utilizing the methodology provided by the State Water Board, confirms that short-term water supplies over the next three years are sufficient to meet projected demand.  While a conservation floor was ultimately not included in the Emergency Regulation, we believe that providing a 20% conservation target (compared to same-month water use in 2013) for our customers is prudent for a number of reasons.  First, it reinforces the need to use water efficiently in light of the fact that large segments of the state, including the Southern San Joaquin Valley, remain in exception drought.  Second, a 20% target is consistent with the conservation standards being adopted regionally, including by the City of Tulare which established a 20% target.  Consistency of targets amongst local water suppliers will assist in ongoing conservation messaging.  Further, Cal Water is working cooperatively with the City of Visalia to establish a 20% conservation target.  Finally, even though short-term water supplies are sufficient to meet projected demand, the Kaweah Groundwater Basin is in a state of overdraft. </t>
  </si>
  <si>
    <t>In a letter dated May 13, 2016, Cal Water advocated for the inclusion of a 10% conservation floor for water suppliers choosing the self-certification option with water suppliers with existing conservation standards of 9% or less continuing at their existing standard.  Our completed analysis, utilizing the methodology provided by the State Water Board, confirms that short-term supplies over the next three years are sufficient to meet projected demand.  While a conservation floor was ultimately not included in the Emergency Regulation, we believe that providing a 10% reduction target reinforces messaging of continuing drought conditions and the need to continue to use water efficiently.  This 10% reduction target is also consistent with the regional request being made by our wholesaler (SFPUC).</t>
  </si>
  <si>
    <t>In a letter dated May 13, 2016, Cal Water advocated for the inclusion of a 10% conservation floor for water suppliers choosing the self-certification option with water suppliers with existing conservation standards of 9% or less continuing at their existing standard.  Our completed analysis, utilizing the methodology provided by the State Water Board, confirms that short-term supplies over the next three years are sufficient to meet projected demand.  While a conservation floor was ultimately not included in the Emergency Regulation, we believe that providing a 10% reduction target reinforces messaging of continuing drought conditions and the need to continue to use water efficiently.  This 10% reduction target is also consistent with the regional request being made by our wholesaler (Zone 7 Water Agency).</t>
  </si>
  <si>
    <t>In a letter dated May 13, 2016, Cal Water advocated for the inclusion of a 10% conservation floor for water suppliers choosing the self-certification option with water suppliers with existing conservation standards of 9% or less continuing at their existing standard.  Our completed analysis, utilizing the methodology provided by the State Water Board, confirms that short-term supplies over the next three years are sufficient to meet projected demand.  While a conservation floor was ultimately not included in the Emergency Regulation, we believe that providing a 10% reduction target reinforces messaging of continuing drought conditions and the need to continue to use water efficiently.  This 20% reduction target is consistent with the regional request being made by our wholesaler (SCVWD).</t>
  </si>
  <si>
    <t>In a letter dated May 13, 2016, Cal Water advocated for the inclusion of a 10% conservation floor for water suppliers choosing the self-certification option with water suppliers with existing conservation standards of 9% or less continuing at their existing standard.  Our completed analysis, utilizing the methodology provided by the State Water Board, confirms that short-term supplies over the next three years are sufficient to meet projected demand.  While a conservation floor was ultimately not included in the Emergency Regulation, we believe that providing a 9% reduction target reinforces messaging of continuing drought conditions and the need to continue to use water efficiently.</t>
  </si>
  <si>
    <t>The Governors Executive Order called for conservation as a way of life for California and as the overall water levels decline in the Districts source basins, West Valley Water District is mindful to ensure that our water supplies remain healthy for future use.  With that in mind, the West Valley Water District has self-certified to the State that our projected supplies are sufficient to meet the estimated demand over the next three years.  However, in order to protect our water supplies for the future, West Valley Water District, along with other neighboring water districts have submitted a self-imposed conservation standard of 15%.  This conservation standard allows for what is called a safe yield to be drawn from the groundwater basins.  A safe yield is the amount of water that can be withdrawn from the groundwater basin without depleting reserves, potential land subsidence, or other negative impacts.See Attachment for calculation.</t>
  </si>
  <si>
    <t xml:space="preserve">The 12% self-certified water conservation standard provided in Step 3.1, is contingent upon the approval of the City Council at their next available meeting. In addition, the City of Covina will continue to enhance its conservation efforts by implementing policies and programs that will meet a 20% reduction [target/goal] by 2020. This may include amending the municipal codes and creating programs to enhance water conservation efforts. The 20% reduction [target/goal] is also contingent upon City Council approval at their next available meeting. </t>
  </si>
  <si>
    <t>Please Note:  the City of Downey's Allowed Pumping Allocation (APA) from the Central Groundwater Basin is 16,553.62 acre-feet per year (AFY).  However, in accordance with the Central Basin Judgment, Downey can lease additional water rights and use available "carryover" (unused APA) from previous years to meet annual water demands.  In particular, Downey has an additional 4,058.21 AF of "carryover" (unused APA) available to use this current 15/16 fiscal year which will increase even further in 16/17 due to additional unsused APA in 15/16.  Carryover eventually maxes out at 60% of a pumpers APA in 17/18.  In addition to this additional groundwater available to the City in the form of "carryover", the City also has 1,350 AF of stored groundwater available to use.  In summary, if the City were to include both "carryover" and stored groundwater, Downey has over 20,000 AF of groundwater available to use in 15/16 with the "carryover" and stored groundwater continuiing to be available to use the next three years as insurance.</t>
  </si>
  <si>
    <t>Please note that while our supply is adequate to qualify for a 0 conservation standard, the District Board passed an updated Water Shortage Contingency Plan and our ongoing Stage 0 includes numerous water efficiency measures along with mandatory adherence to the conservation measures ordered by Gov. Brown. Additionally, our customers have continued to conserve despite relaxed conservation standards. In May 2016, our customers reduced water use by 30%. We are confident our customers will continue using water efficiently, and our public education campaign regarding water use efficiency will continue.</t>
  </si>
  <si>
    <t xml:space="preserve">In July 2014, the SMWD Board of Directors approved a resolution that enacted the District's Water Shortage Contingency Plan by declaring a Conservation Stage 2. In addition to year-round water waste prohibitions, Conservation Stage 2 establishes watering restrictions to three days in summer and one day in winter. This action helped the District meet it's previous Emergency Drought Conservation Standard of 23%.In June 2016, the SMWD Board approved a resolution that extended Conservation Stage 2. This was done in order to continue the momentum gained since July 2014 despite the new 0% self-certified conservation standard.For more information, see the attached "Supporting Analysis &amp; Calculations". </t>
  </si>
  <si>
    <t>The District has targeted a minimum conservation standard of 15% due to prevailing water supply conditions on the Colorado Basin and long term trends in diminished Sierra snowpack. The target is based on eliminating wasteful usage from water demand in 2013 and 2014 demand levels, utilizing the Districts water budget based rate structure and applying volumetric penalties to customers who use more than their individually calculated water budget. The District has seen the greatest number of customers ever (over 90%) living within their water budget as well as the most usage used efficiently ever (over 95%).</t>
  </si>
  <si>
    <t>Eastern Municipal Water District (EMWD) has a long term commitment to water use efficiency.  By 2013 EMWDs gallons per capita per day of water produced was 25 percent lower than a ten year average baseline and 30 percent lower than its peak in 2013.  A cornerstone of our conservation program is an allocation based tiered rate structure implemented in 2009.  This rate structure encourages conservation continuously by sending a strong pricing signal when customers exceed their water allocations.  When mandatory stages of our Water Shortage Contingency Plan (WSCP) are implemented the allocation for each tier can be adjusted to enforce water use reduction requirements.  EMWD entered 2013 in Stage 1 of our WSCP, requesting our customer voluntarily save 10 percent.   As statewide drought conditions continued EMWD moved to Stage 2, a voluntary 25 percent reduction, in early 2014, and in August of 2014 we moved to Stage 3a, our first mandatory stage.  Stage 3a includes penalties for water waste and the elimination of some variances. As the statewide drought intensified and the State Water Resource Control Board adopted Emergency Regulation requiring mandatory water use reductions in response to the Governors Executive Order, EMWD responded by implementing higher mandatory stages of our WSCP.  In 2015 and early 2016 EMWD implemented Stage 4 of our WSCP in a phased approached.  Stage 4 eliminates our Excessive Tier, reduces the outdoor water allocation, and requires customer to pay our highest water rate ($11.16/CCF) for any water used over the adjusted budget.  Stage 4a was approved in May of 2015 with a 10 percent reduction in outdoor allocation.  Stage 4b was approved in September of 2015 with a 30 percent reduction in outdoor allocation.  Stage 4c was approved in January of 2016 with a 70 percent reduction in outdoor allocation.As drought conditions improved and the Emergency Regulation was adjusted, EMWD reduced its mandatory conservation restrictions.  In April of 2016, after submitting for an adjustment to our conservation requirement, a move back Stage 4b with a 30 percent reduction in outdoor allocation was approved.  In June of 2016, after the adoption of a supply based regulatory framework, EMWD moved to Stage 3c of our WSCP.  This stage restores budgets but eliminates our Excessive tier and requires customer to pay our highest water rate ($11.16/CCF) for use over their water budget.  Based on remaining at Stage 3c and other ongoing conservation activities we anticipate an on-going minimum 10 to 20 percent in reduction in demand relative to 2013.  This will improve reliability if drought conditions continue long term.</t>
  </si>
  <si>
    <t>EMWDs local potable supplies come from groundwater in storage.  Supplies available in each contiguous 12-month period, whether water or calendar year, are fairly consistent.  The majority of EMWDs potable groundwater is pumped from the Hemet/San Jacinto Management Plan Area, which is adjudicated and subject to an adjusted base production right (ABPR) set by the Hemet-San Jacinto Watermaster.  The limitation of pumping in the Hemet/San Jacinto Management Plan Area is the ABPR rather than well capacity.  The remainder of EMWDs potable groundwater comes from the Perris North groundwater management zone (GMZ), which exhibits stable and rising groundwater levels.  EMWDs other local potable supply comes from desalination of brackish groundwater pumped primarily from the Perris South GMZ.  Water levels here also exhibit stable or rising trends.  The remainder of EMWDs potable supplies comes from imported water via Metropolitan Water District (MWD).  Note that the supply totals documented above exclude imported from MWD to meet wholesale demands to other agencies within EMWDs service area.</t>
  </si>
  <si>
    <t>Eastern Municipal Water District (EMWD) is certifying that it is able to supply enough potable water to meet 100 percent of estimated customer demand over the next three years.  This is possible through long-term planning and implementation of robust measures for both water supply and demand management.  EMWD and its customers have invested in a diverse portfolio of local resources, regional supplies and storage, and active and varied conservation program that reduced its gallon per capita per day water use by 25 percent prior to 2013.Part of EMWDs investments in local resources is our extensive recycled water system.  Recycled water currently meets 29 percent of EMWDs total demand.  EMWD utilizes 100 percent of its recycled water within its service area.  Over 35,000 acre feet of recycled water was used to meet the demands of agricultural, landscape, environmental, and industrial customers in 2015.  This has reduced the demand for imported potable water and increased reliability for EMWDs customers.  The reduction in demand is reflected in the 2013 and 2014 average demand used to test reliability.  In addition to the projects completed prior to 2013, EMWD has invested in an accelerated recycled water program since 2013 that when completed will permanently offset 950 acre-feet of potable water demand.  The certification of our ability to meet customer demand does not reduce EMWDs focus on conservation during the current drought.  The Governors Executive Order and Emergency Regulation remain in effect and EMWD will continue to implement conservation programs and message to customers the need to save water.  We estimate our efforts will reduce water demand between 10 and 20 percent this summer over 2013.  These efforts include:Remaining at Stage 3c of our Water Shortage Contingency Plan. This eliminates our Excessive tier and requires customer to pay our highest water rate ($11.16/CCF) for use over their water budget;Utilizing EMWD and grant funding to continue rebating the conversion of non-functional turf in highly visible areas to save water and influence public opinion;Offering assistance to all customer groups to reduce outdoor watering including installing high efficiency irrigation nozzles and smart controllers;Continuing to enforce water waste restrictions through warnings and penalties;Accelerating the conversion of potable water landscape customer to the recycled water system; andSending strong messaging to customers about the on-going need for conservation.The reduction of our Conservation Standard does not impact EMWDs strong commitment to ongoing conservation and water use efficiency.  EMWD will continue work with its partners and stakeholder to make conservation way of life in our service area.</t>
  </si>
  <si>
    <t>Water demand is met through a combination of local groundwater, Los Angeles Aqueduct surface water, permanent conservation through hardware installations, existing and new recycled water accounts, other local supply investments, and purchased water from MWD. When all other options have been maximized, LADWP purchases water from MWD to cover the remaining demand. MWD has indicated they will be able to meet LADWPs demand for the  next three years. Because the SWRCB is not allowing water suppliers to account for permanent reductions in demand and supply needs due to conservation hardware savings and new recycled water accounts, LADWP has also included a resilience supply analysis in the supporting documentation that accounts for this permanent reduction in potable water needs for the City of Los Angeles.</t>
  </si>
  <si>
    <t>On June 7th, LADWP adopted its 2015 Urban Water Management Plan (UWMP), which serves as the Citys water supply and demand master planning document. For conservation targets, the UWMP incorporates Mayor Garcettis Executive Directive #5 and Sustainable City pLAn goals of reducing total gallons per capita per day (GPCD) water usage in the City of Los Angeles to 104. Therefore, LADWP will continue to stress the importance of conserving water and will work towards meeting the Citys water reduction goals.</t>
  </si>
  <si>
    <t>For purposes of this submittal and certification process, the supply amounts projected according to the States methodology represent and reflect supplies available to the City from each source in water years 2017, 2018, and 2019 under the specific circumstances prescribed by the State Water Board, but do not reflect or impose limits on the Citys groundwater or other water rights, nor do they reflect the Citys water supply planning projections developed in accordance with other applicable laws.  See supporting document and worksheet 1.</t>
  </si>
  <si>
    <t>288,886 acre ft. of source water available to Reedley. 85 million acre feet of groundwater down to 1,000 feet below the surface remaining in the Kings Basin as of 2015.  Source:  Kings Basin Integrated Regional Water Management Plan.  Reedley covers 5.2 square miles of the 1,530 square mile basin.  The basin has approx. 55,555 acre ft. per square mile.  55,555 acre ft. multiplied by 5.2 square miles equals 288,886 acre ft. of water. Point of contact: Eric Osterling, Manager of Water Resources, Kings Basin Water Authority, (559)237-5567.</t>
  </si>
  <si>
    <t>Although the RCWDs water supplies are projected to be adequate for satisfying its customers demands for water years 2017, 2018, and 2019, the District will continue to encourage conservation and water use efficiency through implementation of its Water Shortage Contingency Plan (Plan). On June 9, 2017, the Districts Board of Directors voted to move into Stage 3c Water Supply Warning of the Plan, which is estimated to be equivalent to at least a 10% conservation standard for the 2013 baseline year.</t>
  </si>
  <si>
    <t>Our Water supply is 100% groundwater managed by the water replenishment district (WRD) Established back in the 1940s an Adjudicated basin.  This basin has already been pardoned by sigma requirements due to properly managed practices under WRD. Orchard Dale is 100% ground water via a joint facility agreement ( Est.1954) thru La Habra Heights County Water District who manages all of our well production facilities. ODWD for years 2013-2014 had a demand of 2313AF, our APA in the basin is 1254 as disclosed in WRDS projections. the difference 1059 has historically been met thru carryover in the basin and with water leases of excess water in the basin.  In regards to ODWDs Supply's from CBMWD our use of this source virtually zero in recent years due to the cheaper and sufficient supply's thru our joint facility well water. however ODWD continuously pays a capacity charge to maintain additional water supply's to the district if necessary. CBMWD Discloses excess surpluses 2000 AF - 3500 AF as an additional surplus Thru 2017-2019.</t>
  </si>
  <si>
    <t>Trabuco Canyon Water District (TCWD) responded to the State Water Boards mandate to conserve 28%.  From June 2015 through May 2016, TCWDs customers have reduced their potable water demands compared to 2013 by a cumulative of 28%.  TCWDs supplier MWDOC/MET has projected to fully meet TCWDs imported water supply for the three-year period, and as such, TCWD does not have a higher savings target. However, TCWD will continue to work with its customers to prevent water waste, implement water use efficiency measures, and make provisions to permanently implement prohibited uses of water as mandated by the State Water Board and TCWDs Water Conservation Ordinance. Should TCWDs customers increase their water use beyond the projected supplies, or if TCWDs supplier reduces TCWDs supplies, then TCWD will take action to implement measures to reduce water demands in an attempt to meet the projected supply amount or a revised supply amount from its supplier as applicable.</t>
  </si>
  <si>
    <t>The Amador Water Agencys (AWA) potable water comes from three (3) surface water treatment plants and 2 Ground Well systems.  The surface water is stored in the Upper Bear Reservoir, Lower Bear Reservoir, Upper Blue Lakes, Lower Blue Lakes, Twin Lakes and Meadow Lakes in the N. Fork Mokelumne River Watershed.  There are three diversion points; the Amador Water System receives its water from Lake Tabeaud via the Amador Transmission Line while the Central Amador Water Project (CAWP) diverts its water via the gravity supply line from Tiger Creek Regulator or if the gravity supply line is offline it uses pump stations to pull from the Tiger Creek After-Bay.The surface water system names and numbers are as follows:Buckhorn -CA0310012AWS- Sutter Creek CA0310003AWS- Ione CA0310002AWAs ground water systems includes four wells in Lake Camanche. System number CA0310021 and two wells in the LaMel Heights subdivision, system number CA0310019.  These groundwater systems only provide water for their prospective community. Production for these systems were used to determine demand and is attached as an excel file.</t>
  </si>
  <si>
    <t>The Amador Water Agency has a Fourth Amended Contract with Pacific Gas and Electric Company (PG&amp;E) that states in Section 3 that AWA has a contractual right to store a maximum of 1,600 acre-feet of water each year in the lower Bear River Reservoir, of which 400 acre-feet will be required to meet a dry year condition.  This pertains to the CAWP permit number #17579.  This water right received a curtailment in 2014 and 2015. During that time we had to rely on stored water. Once the curtailment was lifted, our storage was replenished by January. This data can be seen in DWR CA Data Exchange Center. The Amador Water System has a pre-1914 water right granting 15,000 acre-feet pursuit to an agreement with PG&amp;E and AWA dated March 14, 1984. The Pre-1914 Water Right numbers are as follows:S000979, S000978, S000979, S000980, S000981, S000982These were not curtailed during the recent drought except for S000980 which did not reduce the water supply for the Amador Water System.Groundwater monitoring well elevations were stable during the drought. These are reported via CASGEM and attached as an excel file.Camanche well supply from the Dunn Environmental study shows a total of 1,514 AF/Yr. We used the actual production in water years to come up with the supply numbers on the Worksheet 1.</t>
  </si>
  <si>
    <t>Using the method prescribed in Section 864.5(b) of Article 22.5 of the California Code of Regulations the projected shortfall is 0 thousand ac-ft, indicating that the City's conservation standard is 0%. Irrespective of no identifiable need to have a water conservation standard pursuant to the requirements of the self-certification regulation, City of Riverbank will continue to comply with conservation targets set fourth in the SBx7-7 and its Urban Water Management Plan , which required urban water supplies to reduce residential water use from levels by 20% from baseline levels by the year 2020. Based on the City's recent water conservation efforts, the City of Riverbank has already achieved, in fact surpassed, the 20% reduction of water use consumption targets as required by SBx7-7, and the City of Riverbank Urban Water Management Plan (UWMP).</t>
  </si>
  <si>
    <t>To that end, VCMWD will be continuing its conservation and water use efficiency program and efforts, as follows: 1.      We will stay in our Water Supply Management Watch Level 1 Condition, which will encourage ongoing water use awareness and conservation among our customers with a series of voluntary water conservation and efficiency practices; 2.      Staying in Level 1 will be supported by ongoing advertising in our local print media and messaging  on our web-site and monthly water bills; 3.      As a member agency of the San Diego County Water Authority, we will support its ongoing regional water conservation and use efficiency programs and messaging, Live Water Smart; 4.      Our Board of Directors will be taking specific action to enforce the mandatory water use restrictions included in the Governors latest Executive Order and SWRCB Urban Water Conservation Regulations through patrolling, written advisory notification and if needed, fines for repeated violations. These efforts which will be reported in our ongoing monthly reports to the SWRCB; 5.      We will advise each customer by direct mail of the Level 1 voluntary conservation measures, state mandatory water use provisions and  the continuing enforcement provisions for repeated violations of the mandatory provisions;  6.      We will continue to encourage agricultural water use efficiency efforts through the programs as described in our San Diego Regional Agricultural Water Management Plan, February 2016 which have been and are funded by the San Diego County Water Authority and implemented by the Mission Resource Conservation District; and   7.      We will also continue to seek funding from DWR and the USDA  National Resource Conservation Service (NRCS) for on farm water use efficiency improvements to sustain our commercial growers and make them even more efficient than they are right now.</t>
  </si>
  <si>
    <t>Mountain House CSD was successful in reducing water usage an avg. 19% in 2013 and 25% in 2014. so far in 2016 we have averaged a 44% reduction. We will continue to enforce Stage 3 Water Conservation Requirements and limit residential landscape watering to 3 days per week. Our project to replace residential water meters with interactive smart meters will continue, We are beginning municipal renovation projects totaling 50K square feet to remove and replace district landscape irrigation with subsurface irrigation and drought tolerant shrubs. Since 2002 when Mountain House began to develop, the most efficient technology has been utilized for water conservation for both inside and outside residential water usage. Due to this, the Mountain House CSD is confident to deliver a standard conservation target of reduction over usage in 2013 of 12%.</t>
  </si>
  <si>
    <t>Please see additional documentation and worksheet. Population projections and the corresponding demand in water supply are based on the assumed 0.7% annual growth reported in the BBLDWP Urban Water Management Plan. The residential gallon per capita day (R-GPCD) continues to drop annually, averaging 60 R-GPCD from calendar year 2013 through calendar year 2015. A Technical Review Team consisting of Board members, staff and a hydro-geologist meet twice annually to monitor, review, plan for, and respond to, changes in water production, supply and demand. The perennial yield of the basin is estimated at 3,150 acre feet per year.  Our water product information is from field measurements and Supervisor Control and Data Acquisition (SCADA), is analyzed monthly, and is compared to billed consumption.</t>
  </si>
  <si>
    <t>The City of Big Bear Lake DWP instituted permanent, year-round, water use restrictions in 2002. Since that time our water production/demand has decreased by over 26%. When called upon by the State to make further reductions, BBLDWP customers rose to the challenge and met our adjusted conservation target of 13%. BBLDWP conservation regulations meet or exceed State regulations in most aspects: all outdoor irrigation is limited to April through October on alternate days between 6 p.m. and 9 a.m.; all plumbing fixtures (residential and commercial) must be retrofit to meet current federal plumbing standards upon a change in service/account holder; turf is limited to no more than 1,000 sq. ft. (unless planted prior to the regulation);  landscape plans must be submitted for review and approval; and many more. Our full Water Conservation Policy can be found at www.bbldwp.com/regulations or is available by request.</t>
  </si>
  <si>
    <t xml:space="preserve">Refer to supporting data excel spreadsheet.  Water available projections on Worksheet 1 for all sources are based on the annual average of the past ten years of production from each source.  Use of this data is supported by the overall stability of the groundwater elevations in all wells for the past ten years, and the reliability of production from each well over the same period.  With the exception of Crystal Way Well and Tahoe City Well 02 in 2003, the District has never withdrawn water from any of its groundwater sources to the point of affecting their ability to pump.  Crystal Way Well was the only source of water supply in its service area in 2003.  Since 2004 an approved treated surface water source from Lake Tahoe provides additional supply to the system and water elevations in the Crystal Way Well have since returned to levels seen at the time it was drilled and developed.  Tahoe City Well 02 was drawn down to its pump intake in 2003.  In response the well was deepened to 500 feet in 2003 which tapped a lower water bearing zone similar to Tahoe City Well 03.  Since deepening the well, no operational deficiencies have been noted.  </t>
  </si>
  <si>
    <t>The Tahoe City Public Utility District Board of Directors voted in May 2016 to maintain Stage 2 Drought Response Standards and require a mandatory 10% conservation standard for its customers through February 2017 in conjunction with the current emergency regulations.  The reduction is 10% from 2013 usage, irrigation days are restricted to 3 days per week as well as many other restrictions.  Penalties and fines are still in place.  Please refer to https://conservation.tcpud.org/ for more information.</t>
  </si>
  <si>
    <t>On July 8, 2014 the City initiated Phase 3 water conservation due to low water levels in the Eastern Unit of the Raymond Basin, the Citys primary groundwater source. Phase 3 calls for a reduction of 30% in water use over a base year of 2011-12 and a moratorium on new water service installations. This was prior to SWRCB actions. At this time, the groundwater levels have improved, but not substantially enough to lift the Phase 3 30% conservation level. On June 14, 2016 the City Council approved Resolution 16-36 continuing the Phase 3 conservation and extending the moratorium. This restriction is expected to remain in place until groundwater levels reach and exceed 500 feet above mean sea level. The current elevation is approximately 375 feet AMSL.</t>
  </si>
  <si>
    <t>Wholesale water supplies reported are based on the determination of the Metropolitan Water District of Southern California, the provider of wholesale imported water to Long Beach, that they will be able to meet the demands of all its member agencies, including those of the City of Long Beach, over the next three years.Groundwater supplies reported are based on the Long Beach allowable pumping allocation according to the Central Basin Judgment, which strictly manages the replenishment and limits the extractions in the Central Basin. This allowable pumping allocation is supported by a memorandum from the Water Replenishment District of Southern California confirming the availability of groundwater for the next three years.The recycled water supplies reported are based on the continued conversion of potable water customers to recycled water in the next three years. Long Beach has a right to the entire supply of treated effluent from the Long Beach Water Reclamation Plant owned and operated by the Sanitation Districts of Los Angeles County, a recycled water supply amount that exceeds demands for recycled water for the next three years.Supporting documentation has been provided for all three water supply sources mentioned above.</t>
  </si>
  <si>
    <t xml:space="preserve"> Despite a Conservation Standard of 0, based on our self-certification of sufficient supply for three additional drought years, YLWD is committed to continued conservation efforts and a focus on water use efficiency.Under the prior Conservation Standard of 36%, YLWD developed a Penalty Block structure on customer usage, based on customer class. The collection of these proposed administrative penalties were not for the purpose of recovering the cost of providing water service to District customers, but rather to signal higher than average users of water that they need to conserve more. Should usage trend higher than the approved self-certified conservation reduction percentage, the District may be compelled to reinstitute the penalties. Additionally, Ordinance 09-01, which has been in place since 2009 and governs outdoor irrigation and water use efficiency, will remain in effect. The approved level for the self-certification time-period will be Stage 1, as opposed to Stage 3, under the 36% mandate. The level was reduced to Stage 1 based upon the edicts of Ordinance 09-01, which allows for a Stage 1 level in response to Metropolitan Water District of Southern California (MWD) moving to the Condition 2- Water Supply Alert level of its Water Supply Allocation Plan. This level has a water-use reduction goal of 10% and limits outdoor irrigation to three days per week, in addition to existing permanent conservation requirements.  Water Conservation staff will be budgeted for FY 2016/17 at a similar level to that of FY 2015/16, including newly established Leak Detection staff. Enforcement associated with Ordinance 09-01 will remain the same, whereas on the first violation, YLWD will hand deliver a door hanger to the location of the violation and mail a notice to the current billing address. A second violation within 12 calendar months is punishable by a penalty of $100. A third violation within 12 calendar months of the first or second violations is punishable by a penalty of $250. A fourth and any subsequent violations within 12 calendar months of the first violation are punishable by a fine of $500. In addition, the District may opt to install a water flow restrictor device. Existing partnerships with local agencies will continue, including one with the City of Yorba Linda, where customers with a history of irrigation runoff are identified and educated in an effort to decrease usage and pollutants entered into the stormwater system. The multiple education and rebate programs YLWD is in partnership on with the Municipal Water District of Orange County (MWDOC) will also continue and are actively promoted through YLWDs website, quarterly Newsletters, direct email list and social media. A new web-based water consumption analytics and customer engagement software tool has also been approved for five years. YLWD anticipates further customer interaction and a greater control over water use on the part of the customer with this tool. YLWD will also have greater access to customer usage patterns and more specialized behavioral based water use efficiency trends.</t>
  </si>
  <si>
    <t xml:space="preserve">See the System Delivery 2013 and 2014 tabs in the "Supporting Analysis- Monterey" Excel file for the calculation of the 2013 and 2014 Annual Totals.The Potable Water Production reported for 2013 and 2014 are the System Delivery values for the Water Systems in Monterey District that fall under the Jurisdiction of the Monterey Peninsula Water Management District (MPWMD).  These water systems are: Monterey Main CA2710004, Ryan Ranch CA2701466, Bishop CA2701882, and Hidden Hills CA2710022; they draw supply from the Monterey Peninsula Water Resource System and must comply with CPUC Rule 14.1.1, Stage 1 conservation measures.  The Monterey Main System (CA2710004) is also subject to compliance with SWRCB Order WR 95-10, SWRCB Order WR 2009-0060 (Cease and Desist Order).  The other Small Urban Water Suppliers in California American Waters Monterey District, Toro CA2710021, Ambler CA2710006, Chualar CA2701202, Ralph Lane CA2702004, and Garrapata CA2701257 will be reported in the Annual Small Water Supplier Reports.   These Small Urban Water Suppliers are under CPUC Rule 14.1, Stage 2 mandatory conservation measures.  Please note that all water systems in California American Waters Monterey District are reported together in the SWRCB Monthly Monitoring Report.  </t>
  </si>
  <si>
    <t>The 1993 U.S. Bureau of Reclamation study calculated 3,020,000 acre-feet of extractable water available if the top 300' of the aquifer is dewatered.  The IWV Cooperative Groundwater Management Group's annual production report estimates 611,625 acre-feet have been pumped from the aquifer between 1993 and 2015.  The balance remaining would be 2,408,375 acre-feet.  Annual recharge has been estimated between 7,000 and 11,000 acre-feet.  Assume 7,000 acre-feet of recharge annually (total 161,000 acre-feet from 1993-2015).  The 10 year average production from the basin is 26,984.8 acre-feet.  Net annual loss is 19,984.8 acre-feet.  Water available for 2016 is 2,569,374.8 acre-feet.  Assume 7,000 acre-feet of recharge and 27,000 acre-feet of pumping for 2016 leaves 2,549,390.0 acre-feet available at the end of 2016.</t>
  </si>
  <si>
    <t>The City of San Bernardino Municipal Water Department (SBMWD) understands the severity of the drought and feels it is prudent that aggressive conservation measures, including a conservation standard, be maintained.  Adopting the calculated conservation standard of 0% does not support this approach.  As detailed in Worksheet 1 and other attachments, supply is supplemented by the local wholesaler with State Water Project water. Although SWP supply is projected for the upcoming years based on recent availability, this supply will be assumed to be 0 because it is highly variable and is not a drought tolerant supply. Without this supply, SBMWD's standard would be 15%. SBMWD will implement a 15% conservation standard as a result of this conservative approach.  This will also maintain uniformity with neighboring San Bernardino Basin Area suppliers, as it is SBMWD's understanding that most are adopting a conservation standard of at least 10%.</t>
  </si>
  <si>
    <t>Sweetwater Springs Water District (SSWD) has a license to divert up to 1137 AF of Russian River underflow with a maximum instantaneous diversion of 2 cfs.  The period of lowest flows in the Russian River is summer and that would be the constraint on SSWD diversions.  The minimum flow of the Russian River in summer is 70 cfs, in accordance with the Russian River Biological Opinion, that level of flow was maintained during the past three summers, and we expect those flows can be maintained for the next three summers with a repeat of the past 3 years of weather.  This level of flow would be able to support the relatively small summer water use by Sweetwater Springs Water District.  SSWD will continue to participate in the regional water conservation effort and we expect our water use to be much lower (total of approximately 700-800 AFY) than the licensed amount.</t>
  </si>
  <si>
    <t>The attached Excel spreadsheet contains a supply tab for WY2013, WY2014 and WY2015.  The supply consists of the amounts directly diverted and collected to storage for each of the District's water rights as reported to the SWRCB.  They can be found in the Divisions e-WRIMS database.  Additional supply is from a PG&amp;E contract purchase and treated wastewater effluent.  The wastewater effluent is co-mingled with other District water and rediverted to meet a portion of the agricultural customer demand.</t>
  </si>
  <si>
    <t>This narrative is intended to provide further insight and increased clarity on the approach Olivehurst Public Utility District (OPUD) exercised with the submittal of its water supply reliability certification. OPUD thoroughly reviewed the new emergency regulations as well as all relevant data having bearing on the affects of the ongoing drought on the OPUD drinking water supply, which is exclusively groundwater.The OPUD drinking water aquifer volume has not been quantified. It has been characterized as a rapidly recharged aquafer due to the geology and close proximity to the Feather River.  Therefore, the OPUD approach to estimating the hypothetical shortage in drinking water supply following three more years of drought is based on a comprehensive review of the groundwater wells pumping levels (dynamic levels). We compared the dynamic levels during drought conditions in water year 2014, under drought conditions without significant conservation, to water year 2015, under drought conditions but with significant conservation (OPUDs cumulative conservation is approximately 40% since June 2015).OPUD used this basis to determine the amount of conservation OPUD would need to have no measurable impact on the pumping levels. In other words; reduce the OPUD demand to the point where pumping levels in the OPUD wells do not reflect an impact on the supply. This amount is a 5% reduction in OPUD demand. If OPUD reduces the amount of water pumped from its wells, there will be no lowering of the pumping levels in the wells. OPUD then applied a significant measure of conservatism and rounded the conservation target up to 10%, i.e. doubling the calculated conservation target.</t>
  </si>
  <si>
    <t/>
  </si>
  <si>
    <t>WS_2</t>
  </si>
  <si>
    <t>Oakdale  City of (1030)</t>
  </si>
  <si>
    <t>Supporting calculation attached</t>
  </si>
  <si>
    <t>Oakdales conservation standard is negative, therefore the Conservation Standard is 0%. Oakdale wants to be more responsible with water conservation so will continue using the City Council adopted standard of 20%. This percentage mirrors the Governors original conservation standard at the beginning of the drought.</t>
  </si>
  <si>
    <t>Legal</t>
  </si>
  <si>
    <t>Potable Water Production in Calendar Year 2013</t>
  </si>
  <si>
    <t>Potable Water Production in Calendar Year 2014</t>
  </si>
  <si>
    <t>WY 2018 Total Available Water Supply in acre-feet</t>
  </si>
  <si>
    <t>Demand 
(Notes and Comments)</t>
  </si>
  <si>
    <t>Supply 
(Notes and Comments)</t>
  </si>
  <si>
    <t>Type of Self-Certification</t>
  </si>
  <si>
    <t>Conservation Standard 
(Notes and Comments)</t>
  </si>
  <si>
    <t>Aggregated Conservation Standard</t>
  </si>
  <si>
    <t>Aggregated Self-Certification
(Notes and Comments)</t>
  </si>
  <si>
    <t>Supporting analysis and calculations</t>
  </si>
  <si>
    <t>Voluntary higher than the calculated mandatory conservation standard?</t>
  </si>
  <si>
    <t>100% wholesale</t>
  </si>
  <si>
    <t>2013 &amp; 2014 Production numbers developed from Annual Report To The Drinking Water Program</t>
  </si>
  <si>
    <t>The JBWD Board of Directors is considering a voluntary conservation standard that is higher than the standard calculated above. The Board will be discussing and evaluating this at their July meetings. Although nothing has been adopted or approved, preliminary indications are that the voluntary standard would be 10%.</t>
  </si>
  <si>
    <t>This section is not applicable to JBWD</t>
  </si>
  <si>
    <t>WB staff revised demand</t>
  </si>
  <si>
    <t>WB staff revised supply</t>
  </si>
  <si>
    <r>
      <rPr>
        <u/>
        <sz val="11"/>
        <color theme="1"/>
        <rFont val="Calibri"/>
        <family val="2"/>
        <scheme val="minor"/>
      </rPr>
      <t>Certification</t>
    </r>
    <r>
      <rPr>
        <sz val="11"/>
        <color theme="1"/>
        <rFont val="Calibri"/>
        <family val="2"/>
        <scheme val="minor"/>
      </rPr>
      <t xml:space="preserve">
</t>
    </r>
    <r>
      <rPr>
        <i/>
        <sz val="11"/>
        <color theme="1"/>
        <rFont val="Calibri"/>
        <family val="2"/>
        <scheme val="minor"/>
      </rPr>
      <t>(certification to meet the requirements of Section 864.5)</t>
    </r>
  </si>
  <si>
    <t>Supplier Name
(Number)</t>
  </si>
  <si>
    <t>"Stress test" Conservation Standard</t>
  </si>
  <si>
    <t>"Stress test" Summary</t>
  </si>
  <si>
    <t>INFORMATIONAL ORDER</t>
  </si>
  <si>
    <t>WB staff revised demand and supply</t>
  </si>
  <si>
    <t>Supplier new to reporting</t>
  </si>
  <si>
    <t>379 Self-Certifications received by the State Water Board</t>
  </si>
  <si>
    <r>
      <t xml:space="preserve">Estimated Annual Potable Water Demand
</t>
    </r>
    <r>
      <rPr>
        <sz val="11"/>
        <color rgb="FF00B050"/>
        <rFont val="Calibri"/>
        <family val="2"/>
        <scheme val="minor"/>
      </rPr>
      <t>(acre feet)</t>
    </r>
  </si>
  <si>
    <r>
      <t xml:space="preserve">Estimated Annual Total Water Supply for WY 2019
</t>
    </r>
    <r>
      <rPr>
        <sz val="11"/>
        <color rgb="FF00B050"/>
        <rFont val="Calibri"/>
        <family val="2"/>
        <scheme val="minor"/>
      </rPr>
      <t>(acre feet)</t>
    </r>
  </si>
  <si>
    <r>
      <t xml:space="preserve">WY 2019 Total Available Water Supply 
</t>
    </r>
    <r>
      <rPr>
        <sz val="11"/>
        <color theme="1"/>
        <rFont val="Calibri"/>
        <family val="2"/>
        <scheme val="minor"/>
      </rPr>
      <t>(acre-feet)</t>
    </r>
  </si>
  <si>
    <r>
      <rPr>
        <u/>
        <sz val="11"/>
        <color theme="1"/>
        <rFont val="Calibri"/>
        <family val="2"/>
        <scheme val="minor"/>
      </rPr>
      <t>Worksheet1</t>
    </r>
    <r>
      <rPr>
        <sz val="11"/>
        <color theme="1"/>
        <rFont val="Calibri"/>
        <family val="2"/>
        <scheme val="minor"/>
      </rPr>
      <t xml:space="preserve">
(total available water supply for individual water supplier)</t>
    </r>
  </si>
  <si>
    <t>Potable Water Production in Calendar Year 2013 
(acre-feet)</t>
  </si>
  <si>
    <t>Potable Water Production in Calendar Year 2014 
(acre-feet)</t>
  </si>
  <si>
    <r>
      <t xml:space="preserve">Average Annual Potable Water Demand
</t>
    </r>
    <r>
      <rPr>
        <sz val="11"/>
        <color theme="1"/>
        <rFont val="Calibri"/>
        <family val="2"/>
        <scheme val="minor"/>
      </rPr>
      <t>(acre-feet)</t>
    </r>
  </si>
  <si>
    <t>WY 2017 
Total Available Water Supply 
(acre-feet)</t>
  </si>
  <si>
    <t>Achieved cumulative conservation (Jun 2015-May 2016)</t>
  </si>
  <si>
    <t>March 2016 conservation standard 
(Mar 16-May 16)</t>
  </si>
  <si>
    <r>
      <t xml:space="preserve">Calculated Supply Shortfall at the end of WY 2019
</t>
    </r>
    <r>
      <rPr>
        <i/>
        <sz val="11"/>
        <color theme="1"/>
        <rFont val="Calibri"/>
        <family val="2"/>
        <scheme val="minor"/>
      </rPr>
      <t>(negative amount indicates surplus; conservation standard is zero)</t>
    </r>
  </si>
  <si>
    <r>
      <rPr>
        <u/>
        <sz val="11"/>
        <color theme="1"/>
        <rFont val="Calibri"/>
        <family val="2"/>
        <scheme val="minor"/>
      </rPr>
      <t>Worksheet 2</t>
    </r>
    <r>
      <rPr>
        <sz val="11"/>
        <color theme="1"/>
        <rFont val="Calibri"/>
        <family val="2"/>
        <scheme val="minor"/>
      </rPr>
      <t xml:space="preserve">
(aggregated standard –  wholesaler and its urban water supplier customers)</t>
    </r>
  </si>
  <si>
    <r>
      <t xml:space="preserve">Conservation Standard with Self-Certification 
</t>
    </r>
    <r>
      <rPr>
        <i/>
        <sz val="11"/>
        <color theme="1"/>
        <rFont val="Calibri"/>
        <family val="2"/>
        <scheme val="minor"/>
      </rPr>
      <t>(rounded to the nearest whole percentage)</t>
    </r>
  </si>
  <si>
    <t>Aggregated Average Annual Potable Water Demand 
(acre feet)</t>
  </si>
  <si>
    <t>Aggregated Potable Water Supply in WY 2019
(acre feet)</t>
  </si>
  <si>
    <t>NA</t>
  </si>
  <si>
    <r>
      <t xml:space="preserve">WB Comments and 
Correction Notes
</t>
    </r>
    <r>
      <rPr>
        <i/>
        <sz val="11"/>
        <color rgb="FFFF0000"/>
        <rFont val="Calibri"/>
        <family val="2"/>
        <scheme val="minor"/>
      </rPr>
      <t>(including Informational Orders)</t>
    </r>
  </si>
  <si>
    <t>Hydrologic 
Region</t>
  </si>
  <si>
    <r>
      <t>Achieved monthly 
conservation
(Jun 2016)</t>
    </r>
    <r>
      <rPr>
        <sz val="3"/>
        <color theme="1"/>
        <rFont val="Calibri"/>
        <family val="2"/>
        <scheme val="minor"/>
      </rPr>
      <t xml:space="preserve"> 
</t>
    </r>
    <r>
      <rPr>
        <i/>
        <sz val="9"/>
        <color theme="1"/>
        <rFont val="Calibri"/>
        <family val="2"/>
        <scheme val="minor"/>
      </rPr>
      <t>NA= did not file;
negative value= exceeds Jun 2013 production</t>
    </r>
  </si>
  <si>
    <t xml:space="preserve"> -- </t>
  </si>
  <si>
    <t>Total Population Served</t>
  </si>
  <si>
    <t>Data corrected 8/16/16</t>
  </si>
  <si>
    <t>WFA Aggregated Certification</t>
  </si>
  <si>
    <t>SDCWA Aggregated Certification</t>
  </si>
  <si>
    <t>Updated in response to INFORMATIONAL ORDER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</si>
</sst>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20" x14ac:knownFonts="1">
    <font>
      <sz val="11"/>
      <color theme="1"/>
      <name val="Calibri"/>
      <family val="2"/>
      <scheme val="minor"/>
    </font>
    <font>
      <u/>
      <sz val="11"/>
      <color rgb="FF0000FF"/>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2"/>
      <color theme="1"/>
      <name val="Times New Roman"/>
      <family val="2"/>
    </font>
    <font>
      <sz val="11"/>
      <color rgb="FF00B050"/>
      <name val="Calibri"/>
      <family val="2"/>
      <scheme val="minor"/>
    </font>
    <font>
      <b/>
      <sz val="11"/>
      <color rgb="FF00B050"/>
      <name val="Calibri"/>
      <family val="2"/>
      <scheme val="minor"/>
    </font>
    <font>
      <sz val="8"/>
      <color theme="1"/>
      <name val="Calibri"/>
      <family val="2"/>
      <scheme val="minor"/>
    </font>
    <font>
      <i/>
      <sz val="11"/>
      <color theme="1"/>
      <name val="Calibri"/>
      <family val="2"/>
      <scheme val="minor"/>
    </font>
    <font>
      <u/>
      <sz val="11"/>
      <color theme="10"/>
      <name val="Calibri"/>
      <family val="2"/>
      <scheme val="minor"/>
    </font>
    <font>
      <u/>
      <sz val="11"/>
      <color theme="1"/>
      <name val="Calibri"/>
      <family val="2"/>
      <scheme val="minor"/>
    </font>
    <font>
      <sz val="10"/>
      <color rgb="FF0000FF"/>
      <name val="Calibri"/>
      <family val="2"/>
      <scheme val="minor"/>
    </font>
    <font>
      <i/>
      <sz val="11"/>
      <color rgb="FFFF0000"/>
      <name val="Calibri"/>
      <family val="2"/>
      <scheme val="minor"/>
    </font>
    <font>
      <i/>
      <sz val="9"/>
      <color theme="1"/>
      <name val="Calibri"/>
      <family val="2"/>
      <scheme val="minor"/>
    </font>
    <font>
      <sz val="9"/>
      <color indexed="81"/>
      <name val="Tahoma"/>
      <family val="2"/>
    </font>
    <font>
      <b/>
      <sz val="9"/>
      <color indexed="81"/>
      <name val="Tahoma"/>
      <family val="2"/>
    </font>
    <font>
      <sz val="3"/>
      <color theme="1"/>
      <name val="Calibri"/>
      <family val="2"/>
      <scheme val="minor"/>
    </font>
    <font>
      <sz val="11"/>
      <name val="Calibri"/>
      <family val="2"/>
      <scheme val="minor"/>
    </font>
    <font>
      <b/>
      <sz val="11"/>
      <name val="Calibri"/>
      <family val="2"/>
      <scheme val="minor"/>
    </font>
  </fonts>
  <fills count="10">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FFFFCC"/>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9" fontId="2"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0" fontId="5" fillId="0" borderId="0"/>
    <xf numFmtId="0" fontId="10" fillId="0" borderId="0" applyNumberFormat="0" applyFill="0" applyBorder="0" applyAlignment="0" applyProtection="0"/>
  </cellStyleXfs>
  <cellXfs count="96">
    <xf numFmtId="0" fontId="0" fillId="0" borderId="0" xfId="0"/>
    <xf numFmtId="0" fontId="0" fillId="0" borderId="0" xfId="0" applyAlignment="1">
      <alignment horizontal="center"/>
    </xf>
    <xf numFmtId="0" fontId="0" fillId="0" borderId="0" xfId="0" applyAlignment="1">
      <alignment horizontal="center" wrapText="1"/>
    </xf>
    <xf numFmtId="0" fontId="0" fillId="5"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0" borderId="0" xfId="0"/>
    <xf numFmtId="0" fontId="8" fillId="0" borderId="1" xfId="0" applyFont="1" applyBorder="1" applyAlignment="1">
      <alignment horizontal="left" vertical="top" wrapText="1"/>
    </xf>
    <xf numFmtId="0" fontId="8" fillId="8" borderId="1" xfId="0" applyFont="1" applyFill="1" applyBorder="1" applyAlignment="1">
      <alignment horizontal="left" vertical="top" wrapText="1"/>
    </xf>
    <xf numFmtId="0" fontId="0" fillId="0" borderId="1" xfId="0" applyBorder="1" applyAlignment="1">
      <alignment horizontal="left" vertical="top"/>
    </xf>
    <xf numFmtId="164" fontId="0" fillId="0" borderId="1" xfId="2" applyNumberFormat="1" applyFont="1" applyBorder="1" applyAlignment="1">
      <alignment horizontal="center" vertical="top"/>
    </xf>
    <xf numFmtId="164" fontId="0" fillId="0" borderId="1" xfId="2" applyNumberFormat="1" applyFont="1" applyFill="1" applyBorder="1" applyAlignment="1">
      <alignment horizontal="center" vertical="top"/>
    </xf>
    <xf numFmtId="9" fontId="0" fillId="0" borderId="1" xfId="0" applyNumberFormat="1" applyBorder="1" applyAlignment="1">
      <alignment horizontal="center" vertical="top"/>
    </xf>
    <xf numFmtId="0" fontId="0" fillId="8" borderId="1" xfId="0" applyFill="1" applyBorder="1" applyAlignment="1">
      <alignment horizontal="center" vertical="top"/>
    </xf>
    <xf numFmtId="9" fontId="0" fillId="8" borderId="1" xfId="0" applyNumberFormat="1" applyFill="1" applyBorder="1" applyAlignment="1">
      <alignment horizontal="center" vertical="top"/>
    </xf>
    <xf numFmtId="9" fontId="3" fillId="0" borderId="1" xfId="1" applyFont="1" applyFill="1" applyBorder="1" applyAlignment="1">
      <alignment horizontal="center" vertical="top"/>
    </xf>
    <xf numFmtId="0" fontId="0" fillId="0" borderId="0" xfId="0" applyAlignment="1">
      <alignment vertical="top"/>
    </xf>
    <xf numFmtId="164" fontId="0" fillId="8" borderId="1" xfId="2" applyNumberFormat="1" applyFont="1" applyFill="1" applyBorder="1" applyAlignment="1">
      <alignment horizontal="center" vertical="top"/>
    </xf>
    <xf numFmtId="9" fontId="0" fillId="8" borderId="1" xfId="1" applyFont="1" applyFill="1" applyBorder="1" applyAlignment="1">
      <alignment horizontal="center" vertical="top"/>
    </xf>
    <xf numFmtId="0" fontId="3" fillId="5" borderId="1" xfId="0" applyFont="1" applyFill="1" applyBorder="1" applyAlignment="1">
      <alignment horizontal="center" vertical="center" wrapText="1"/>
    </xf>
    <xf numFmtId="164" fontId="3" fillId="0" borderId="1" xfId="2" applyNumberFormat="1" applyFont="1" applyFill="1" applyBorder="1" applyAlignment="1">
      <alignment horizontal="center" vertical="top"/>
    </xf>
    <xf numFmtId="164" fontId="3" fillId="0" borderId="1" xfId="2" applyNumberFormat="1" applyFont="1" applyBorder="1" applyAlignment="1">
      <alignment horizontal="center" vertical="top"/>
    </xf>
    <xf numFmtId="0" fontId="3" fillId="6" borderId="1" xfId="0" applyFont="1" applyFill="1" applyBorder="1" applyAlignment="1">
      <alignment horizontal="center" vertical="center" wrapText="1"/>
    </xf>
    <xf numFmtId="0" fontId="0" fillId="0" borderId="1" xfId="0" applyFont="1" applyBorder="1" applyAlignment="1">
      <alignment horizontal="center" vertical="top"/>
    </xf>
    <xf numFmtId="0" fontId="1" fillId="8" borderId="1" xfId="0" applyFont="1" applyFill="1" applyBorder="1" applyAlignment="1">
      <alignment horizontal="center"/>
    </xf>
    <xf numFmtId="0" fontId="1" fillId="0" borderId="1" xfId="0" applyFont="1" applyFill="1" applyBorder="1" applyAlignment="1">
      <alignment horizontal="center"/>
    </xf>
    <xf numFmtId="9" fontId="8" fillId="0" borderId="1" xfId="0" applyNumberFormat="1" applyFont="1" applyBorder="1" applyAlignment="1">
      <alignment horizontal="left" vertical="top" wrapText="1"/>
    </xf>
    <xf numFmtId="0" fontId="0" fillId="0" borderId="1" xfId="0" applyBorder="1" applyAlignment="1">
      <alignment horizontal="center" vertical="top"/>
    </xf>
    <xf numFmtId="164" fontId="0" fillId="0" borderId="1" xfId="2" applyNumberFormat="1" applyFont="1" applyBorder="1" applyAlignment="1">
      <alignment horizontal="center" vertical="top"/>
    </xf>
    <xf numFmtId="164" fontId="0" fillId="8" borderId="1" xfId="2" applyNumberFormat="1" applyFont="1" applyFill="1" applyBorder="1" applyAlignment="1">
      <alignment horizontal="center" vertical="top"/>
    </xf>
    <xf numFmtId="9" fontId="0" fillId="8" borderId="1" xfId="1" applyFont="1" applyFill="1" applyBorder="1" applyAlignment="1">
      <alignment horizontal="center" vertical="top"/>
    </xf>
    <xf numFmtId="164" fontId="3" fillId="0" borderId="1" xfId="2" applyNumberFormat="1" applyFont="1" applyFill="1" applyBorder="1" applyAlignment="1">
      <alignment horizontal="center" vertical="top"/>
    </xf>
    <xf numFmtId="164" fontId="3" fillId="0" borderId="1" xfId="2" applyNumberFormat="1" applyFont="1" applyBorder="1" applyAlignment="1">
      <alignment horizontal="center" vertical="top"/>
    </xf>
    <xf numFmtId="0" fontId="1" fillId="8" borderId="1" xfId="0" applyFont="1" applyFill="1" applyBorder="1" applyAlignment="1">
      <alignment horizontal="center"/>
    </xf>
    <xf numFmtId="0" fontId="1" fillId="0" borderId="1" xfId="0" applyFont="1" applyFill="1" applyBorder="1" applyAlignment="1">
      <alignment horizontal="center"/>
    </xf>
    <xf numFmtId="0" fontId="10" fillId="0" borderId="1" xfId="5" applyFill="1" applyBorder="1" applyAlignment="1">
      <alignment horizontal="center"/>
    </xf>
    <xf numFmtId="0" fontId="10" fillId="8" borderId="1" xfId="5" applyFill="1" applyBorder="1" applyAlignment="1">
      <alignment horizontal="center"/>
    </xf>
    <xf numFmtId="0" fontId="7" fillId="9" borderId="1" xfId="0" applyFont="1" applyFill="1" applyBorder="1" applyAlignment="1">
      <alignment horizontal="center" vertical="center" wrapText="1"/>
    </xf>
    <xf numFmtId="0" fontId="8" fillId="0" borderId="1" xfId="0" applyFont="1" applyBorder="1" applyAlignment="1">
      <alignment horizontal="left" vertical="top" wrapText="1"/>
    </xf>
    <xf numFmtId="0" fontId="8" fillId="8" borderId="1" xfId="0" applyFont="1" applyFill="1" applyBorder="1" applyAlignment="1">
      <alignment horizontal="left" vertical="top" wrapText="1"/>
    </xf>
    <xf numFmtId="0" fontId="0" fillId="0" borderId="1" xfId="0" applyBorder="1" applyAlignment="1">
      <alignment horizontal="left" vertical="top"/>
    </xf>
    <xf numFmtId="164" fontId="0" fillId="0" borderId="1" xfId="2" applyNumberFormat="1" applyFont="1" applyBorder="1" applyAlignment="1">
      <alignment horizontal="center" vertical="top"/>
    </xf>
    <xf numFmtId="164" fontId="0" fillId="0" borderId="1" xfId="2" applyNumberFormat="1" applyFont="1" applyFill="1" applyBorder="1" applyAlignment="1">
      <alignment horizontal="center" vertical="top"/>
    </xf>
    <xf numFmtId="9" fontId="0" fillId="0" borderId="1" xfId="0" applyNumberFormat="1" applyBorder="1" applyAlignment="1">
      <alignment horizontal="center" vertical="top"/>
    </xf>
    <xf numFmtId="9" fontId="0" fillId="8" borderId="1" xfId="0" applyNumberFormat="1" applyFill="1" applyBorder="1" applyAlignment="1">
      <alignment horizontal="center" vertical="top"/>
    </xf>
    <xf numFmtId="9" fontId="3" fillId="0" borderId="1" xfId="1" applyFont="1" applyFill="1" applyBorder="1" applyAlignment="1">
      <alignment horizontal="center" vertical="top"/>
    </xf>
    <xf numFmtId="0" fontId="0" fillId="0" borderId="0" xfId="0" applyAlignment="1">
      <alignment vertical="top"/>
    </xf>
    <xf numFmtId="164" fontId="3" fillId="0" borderId="1" xfId="2" applyNumberFormat="1" applyFont="1" applyFill="1" applyBorder="1" applyAlignment="1">
      <alignment horizontal="center" vertical="top"/>
    </xf>
    <xf numFmtId="164" fontId="3" fillId="0" borderId="1" xfId="2" applyNumberFormat="1" applyFont="1" applyBorder="1" applyAlignment="1">
      <alignment horizontal="center" vertical="top"/>
    </xf>
    <xf numFmtId="0" fontId="0" fillId="0" borderId="1" xfId="0" applyFont="1" applyBorder="1" applyAlignment="1">
      <alignment horizontal="center" vertical="top"/>
    </xf>
    <xf numFmtId="0" fontId="1" fillId="8" borderId="1" xfId="0" applyFont="1" applyFill="1" applyBorder="1" applyAlignment="1">
      <alignment horizontal="center"/>
    </xf>
    <xf numFmtId="9" fontId="8" fillId="0" borderId="1" xfId="0" applyNumberFormat="1" applyFont="1" applyBorder="1" applyAlignment="1">
      <alignment horizontal="left" vertical="top" wrapText="1"/>
    </xf>
    <xf numFmtId="0" fontId="0" fillId="0" borderId="1" xfId="0" applyBorder="1" applyAlignment="1">
      <alignment horizontal="center" vertical="top"/>
    </xf>
    <xf numFmtId="0" fontId="10" fillId="0" borderId="1" xfId="5" applyBorder="1" applyAlignment="1">
      <alignment horizontal="center"/>
    </xf>
    <xf numFmtId="0" fontId="0" fillId="7" borderId="1" xfId="0" applyFont="1" applyFill="1" applyBorder="1" applyAlignment="1">
      <alignment horizontal="center" vertical="center" wrapText="1"/>
    </xf>
    <xf numFmtId="0" fontId="1" fillId="0" borderId="1" xfId="0" applyFont="1" applyBorder="1" applyAlignment="1">
      <alignment horizontal="center"/>
    </xf>
    <xf numFmtId="0" fontId="0" fillId="0" borderId="1" xfId="0" applyBorder="1" applyAlignment="1">
      <alignment horizontal="left" vertical="top"/>
    </xf>
    <xf numFmtId="164" fontId="0" fillId="0" borderId="1" xfId="2" applyNumberFormat="1" applyFont="1" applyBorder="1" applyAlignment="1">
      <alignment horizontal="center" vertical="top"/>
    </xf>
    <xf numFmtId="164" fontId="3" fillId="0" borderId="1" xfId="2" applyNumberFormat="1" applyFont="1" applyFill="1" applyBorder="1" applyAlignment="1">
      <alignment horizontal="center" vertical="top"/>
    </xf>
    <xf numFmtId="0" fontId="0" fillId="0" borderId="1" xfId="0" applyBorder="1" applyAlignment="1">
      <alignment horizontal="center" vertical="top"/>
    </xf>
    <xf numFmtId="0" fontId="12" fillId="0" borderId="1" xfId="0" applyFont="1" applyBorder="1" applyAlignment="1">
      <alignment horizontal="center"/>
    </xf>
    <xf numFmtId="9" fontId="0" fillId="0" borderId="1" xfId="1" applyFont="1" applyBorder="1" applyAlignment="1">
      <alignment horizontal="center" vertical="top"/>
    </xf>
    <xf numFmtId="164" fontId="0" fillId="0" borderId="1" xfId="2" applyNumberFormat="1" applyFont="1" applyBorder="1" applyAlignment="1">
      <alignment horizontal="center" vertical="top"/>
    </xf>
    <xf numFmtId="9" fontId="0" fillId="0" borderId="1" xfId="0" applyNumberFormat="1" applyBorder="1" applyAlignment="1">
      <alignment horizontal="center" vertical="top"/>
    </xf>
    <xf numFmtId="9" fontId="0" fillId="8" borderId="1" xfId="1" applyFont="1" applyFill="1" applyBorder="1" applyAlignment="1">
      <alignment horizontal="center" vertical="top"/>
    </xf>
    <xf numFmtId="0" fontId="0" fillId="0" borderId="1" xfId="0" applyBorder="1" applyAlignment="1">
      <alignment horizontal="left" vertical="top"/>
    </xf>
    <xf numFmtId="0" fontId="4" fillId="0" borderId="1" xfId="0" applyFont="1" applyBorder="1" applyAlignment="1">
      <alignment horizontal="left" vertical="top"/>
    </xf>
    <xf numFmtId="0" fontId="0" fillId="0" borderId="0" xfId="0" applyAlignment="1"/>
    <xf numFmtId="165" fontId="0" fillId="0" borderId="1" xfId="1" applyNumberFormat="1" applyFont="1" applyBorder="1" applyAlignment="1">
      <alignment horizontal="center" vertical="top"/>
    </xf>
    <xf numFmtId="165" fontId="4" fillId="0" borderId="1" xfId="1" applyNumberFormat="1" applyFont="1" applyBorder="1" applyAlignment="1">
      <alignment horizontal="center" vertical="top"/>
    </xf>
    <xf numFmtId="164" fontId="0" fillId="0" borderId="1" xfId="2" applyNumberFormat="1" applyFont="1" applyBorder="1" applyAlignment="1">
      <alignment horizontal="left" vertical="top"/>
    </xf>
    <xf numFmtId="9" fontId="8" fillId="8" borderId="1" xfId="0" applyNumberFormat="1" applyFont="1" applyFill="1" applyBorder="1" applyAlignment="1">
      <alignment horizontal="left" vertical="top" wrapText="1"/>
    </xf>
    <xf numFmtId="9" fontId="0" fillId="0" borderId="1" xfId="0" applyNumberFormat="1" applyFill="1" applyBorder="1" applyAlignment="1">
      <alignment horizontal="center" vertical="top"/>
    </xf>
    <xf numFmtId="0" fontId="8" fillId="0" borderId="1" xfId="0" applyFont="1" applyFill="1" applyBorder="1" applyAlignment="1">
      <alignment horizontal="left" vertical="top" wrapText="1"/>
    </xf>
    <xf numFmtId="9" fontId="0" fillId="0" borderId="1" xfId="1" applyFont="1" applyFill="1" applyBorder="1" applyAlignment="1">
      <alignment horizontal="center" vertical="top"/>
    </xf>
    <xf numFmtId="0" fontId="0" fillId="0" borderId="1" xfId="0" applyFill="1" applyBorder="1" applyAlignment="1">
      <alignment horizontal="center" vertical="top"/>
    </xf>
    <xf numFmtId="164" fontId="18" fillId="0" borderId="1" xfId="2" applyNumberFormat="1" applyFont="1" applyFill="1" applyBorder="1" applyAlignment="1">
      <alignment horizontal="center" vertical="top"/>
    </xf>
    <xf numFmtId="164" fontId="19" fillId="0" borderId="1" xfId="2" applyNumberFormat="1" applyFont="1" applyFill="1" applyBorder="1" applyAlignment="1">
      <alignment horizontal="center" vertical="top"/>
    </xf>
    <xf numFmtId="0" fontId="0" fillId="0" borderId="1" xfId="0" applyFont="1" applyFill="1" applyBorder="1" applyAlignment="1">
      <alignment horizontal="center" vertical="top"/>
    </xf>
    <xf numFmtId="0" fontId="3" fillId="7" borderId="2" xfId="0" applyFont="1" applyFill="1" applyBorder="1" applyAlignment="1">
      <alignment horizontal="left"/>
    </xf>
    <xf numFmtId="0" fontId="3" fillId="0" borderId="3" xfId="0" applyFont="1" applyBorder="1" applyAlignment="1">
      <alignment horizontal="left"/>
    </xf>
    <xf numFmtId="0" fontId="0" fillId="0" borderId="4" xfId="0" applyBorder="1" applyAlignment="1">
      <alignment horizontal="left"/>
    </xf>
    <xf numFmtId="0" fontId="0" fillId="7" borderId="2" xfId="0"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7" fillId="9" borderId="1" xfId="0" applyFont="1" applyFill="1" applyBorder="1" applyAlignment="1">
      <alignment horizontal="center"/>
    </xf>
    <xf numFmtId="0" fontId="3" fillId="0" borderId="1" xfId="0" applyFont="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2" borderId="1" xfId="0" applyFill="1" applyBorder="1" applyAlignment="1">
      <alignment horizontal="center"/>
    </xf>
  </cellXfs>
  <cellStyles count="6">
    <cellStyle name="Comma" xfId="2" builtinId="3"/>
    <cellStyle name="Comma 2" xfId="3"/>
    <cellStyle name="Hyperlink" xfId="5" builtinId="8"/>
    <cellStyle name="Normal" xfId="0" builtinId="0"/>
    <cellStyle name="Normal 2" xfId="4"/>
    <cellStyle name="Percent" xfId="1" builtinId="5"/>
  </cellStyles>
  <dxfs count="0"/>
  <tableStyles count="0" defaultTableStyle="TableStyleMedium2" defaultPivotStyle="PivotStyleLight16"/>
  <colors>
    <mruColors>
      <color rgb="FFFFFFCC"/>
      <color rgb="FF0000FF"/>
      <color rgb="FFFFCC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drinc.ca.gov/DNN/Portals/0/SelfCert/cf428c6e-947e-4b1a-893f-0d330f5ad00f.xlsx" TargetMode="External"/><Relationship Id="rId13" Type="http://schemas.openxmlformats.org/officeDocument/2006/relationships/hyperlink" Target="http://drinc.ca.gov/DNN/Portals/0/SelfCert/cf428c6e-947e-4b1a-893f-0d330f5ad00f.xlsx" TargetMode="External"/><Relationship Id="rId18" Type="http://schemas.openxmlformats.org/officeDocument/2006/relationships/hyperlink" Target="http://drinc.ca.gov/DNN/Portals/0/SelfCert/cf428c6e-947e-4b1a-893f-0d330f5ad00f.xlsx" TargetMode="External"/><Relationship Id="rId26" Type="http://schemas.openxmlformats.org/officeDocument/2006/relationships/comments" Target="../comments1.xml"/><Relationship Id="rId3" Type="http://schemas.openxmlformats.org/officeDocument/2006/relationships/printerSettings" Target="../printerSettings/printerSettings3.bin"/><Relationship Id="rId21" Type="http://schemas.openxmlformats.org/officeDocument/2006/relationships/hyperlink" Target="http://drinc.ca.gov/DNN/Portals/0/SelfCert/cf428c6e-947e-4b1a-893f-0d330f5ad00f.xlsx" TargetMode="External"/><Relationship Id="rId7" Type="http://schemas.openxmlformats.org/officeDocument/2006/relationships/hyperlink" Target="http://drinc.ca.gov/DNN/Portals/0/SelfCert/cf428c6e-947e-4b1a-893f-0d330f5ad00f.xlsx" TargetMode="External"/><Relationship Id="rId12" Type="http://schemas.openxmlformats.org/officeDocument/2006/relationships/hyperlink" Target="http://drinc.ca.gov/DNN/Portals/0/SelfCert/cf428c6e-947e-4b1a-893f-0d330f5ad00f.xlsx" TargetMode="External"/><Relationship Id="rId17" Type="http://schemas.openxmlformats.org/officeDocument/2006/relationships/hyperlink" Target="http://drinc.ca.gov/DNN/Portals/0/SelfCert/cf428c6e-947e-4b1a-893f-0d330f5ad00f.xlsx" TargetMode="External"/><Relationship Id="rId25" Type="http://schemas.openxmlformats.org/officeDocument/2006/relationships/vmlDrawing" Target="../drawings/vmlDrawing1.vml"/><Relationship Id="rId2" Type="http://schemas.openxmlformats.org/officeDocument/2006/relationships/printerSettings" Target="../printerSettings/printerSettings2.bin"/><Relationship Id="rId16" Type="http://schemas.openxmlformats.org/officeDocument/2006/relationships/hyperlink" Target="http://drinc.ca.gov/DNN/Portals/0/SelfCert/cf428c6e-947e-4b1a-893f-0d330f5ad00f.xlsx" TargetMode="External"/><Relationship Id="rId20" Type="http://schemas.openxmlformats.org/officeDocument/2006/relationships/hyperlink" Target="http://drinc.ca.gov/DNN/Portals/0/SelfCert/cf428c6e-947e-4b1a-893f-0d330f5ad00f.xlsx" TargetMode="External"/><Relationship Id="rId1" Type="http://schemas.openxmlformats.org/officeDocument/2006/relationships/printerSettings" Target="../printerSettings/printerSettings1.bin"/><Relationship Id="rId6" Type="http://schemas.openxmlformats.org/officeDocument/2006/relationships/hyperlink" Target="http://drinc.ca.gov/DNN/Portals/0/SelfCert/cf428c6e-947e-4b1a-893f-0d330f5ad00f.xlsx" TargetMode="External"/><Relationship Id="rId11" Type="http://schemas.openxmlformats.org/officeDocument/2006/relationships/hyperlink" Target="http://drinc.ca.gov/DNN/Portals/0/SelfCert/cf428c6e-947e-4b1a-893f-0d330f5ad00f.xlsx" TargetMode="External"/><Relationship Id="rId24" Type="http://schemas.openxmlformats.org/officeDocument/2006/relationships/printerSettings" Target="../printerSettings/printerSettings5.bin"/><Relationship Id="rId5" Type="http://schemas.openxmlformats.org/officeDocument/2006/relationships/hyperlink" Target="http://drinc.ca.gov/DNN/Portals/0/SelfCert/38cc6d51-9cfc-429a-a301-4efc6f276c82.pdf" TargetMode="External"/><Relationship Id="rId15" Type="http://schemas.openxmlformats.org/officeDocument/2006/relationships/hyperlink" Target="http://drinc.ca.gov/DNN/Portals/0/SelfCert/cf428c6e-947e-4b1a-893f-0d330f5ad00f.xlsx" TargetMode="External"/><Relationship Id="rId23" Type="http://schemas.openxmlformats.org/officeDocument/2006/relationships/hyperlink" Target="http://drinc.ca.gov/DNN/Portals/0/SelfCert/cf428c6e-947e-4b1a-893f-0d330f5ad00f.xlsx" TargetMode="External"/><Relationship Id="rId10" Type="http://schemas.openxmlformats.org/officeDocument/2006/relationships/hyperlink" Target="http://drinc.ca.gov/DNN/Portals/0/SelfCert/cf428c6e-947e-4b1a-893f-0d330f5ad00f.xlsx" TargetMode="External"/><Relationship Id="rId19" Type="http://schemas.openxmlformats.org/officeDocument/2006/relationships/hyperlink" Target="http://drinc.ca.gov/DNN/Portals/0/SelfCert/cf428c6e-947e-4b1a-893f-0d330f5ad00f.xlsx" TargetMode="External"/><Relationship Id="rId4" Type="http://schemas.openxmlformats.org/officeDocument/2006/relationships/printerSettings" Target="../printerSettings/printerSettings4.bin"/><Relationship Id="rId9" Type="http://schemas.openxmlformats.org/officeDocument/2006/relationships/hyperlink" Target="http://drinc.ca.gov/DNN/Portals/0/SelfCert/cf428c6e-947e-4b1a-893f-0d330f5ad00f.xlsx" TargetMode="External"/><Relationship Id="rId14" Type="http://schemas.openxmlformats.org/officeDocument/2006/relationships/hyperlink" Target="http://drinc.ca.gov/DNN/Portals/0/SelfCert/cf428c6e-947e-4b1a-893f-0d330f5ad00f.xlsx" TargetMode="External"/><Relationship Id="rId22" Type="http://schemas.openxmlformats.org/officeDocument/2006/relationships/hyperlink" Target="http://drinc.ca.gov/DNN/Portals/0/SelfCert/cf428c6e-947e-4b1a-893f-0d330f5ad00f.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pageSetUpPr fitToPage="1"/>
  </sheetPr>
  <dimension ref="A1:AL381"/>
  <sheetViews>
    <sheetView tabSelected="1" zoomScale="70" zoomScaleNormal="70" workbookViewId="0">
      <selection activeCell="A2" sqref="A2"/>
    </sheetView>
  </sheetViews>
  <sheetFormatPr defaultRowHeight="14.4" x14ac:dyDescent="0.3"/>
  <cols>
    <col min="1" max="1" width="43.21875" customWidth="1"/>
    <col min="2" max="2" width="16.21875" style="9" customWidth="1"/>
    <col min="3" max="3" width="12.77734375" style="9" customWidth="1"/>
    <col min="4" max="4" width="12.88671875" customWidth="1"/>
    <col min="5" max="5" width="11.44140625" customWidth="1"/>
    <col min="6" max="6" width="14.33203125" customWidth="1"/>
    <col min="7" max="7" width="28.33203125" style="9" customWidth="1"/>
    <col min="8" max="9" width="13.44140625" style="9" customWidth="1"/>
    <col min="10" max="10" width="14.5546875" style="9" customWidth="1"/>
    <col min="11" max="11" width="17.21875" style="9" customWidth="1"/>
    <col min="12" max="13" width="11.6640625" style="9" customWidth="1"/>
    <col min="14" max="15" width="11.44140625" customWidth="1"/>
    <col min="16" max="16" width="10.44140625" customWidth="1"/>
    <col min="17" max="18" width="12" customWidth="1"/>
    <col min="19" max="19" width="12.21875" customWidth="1"/>
    <col min="20" max="20" width="24.44140625" style="70" customWidth="1"/>
    <col min="21" max="22" width="11.6640625" customWidth="1"/>
    <col min="23" max="23" width="12.109375" customWidth="1"/>
    <col min="24" max="24" width="13.5546875" customWidth="1"/>
    <col min="25" max="25" width="24.44140625" customWidth="1"/>
    <col min="26" max="26" width="16.6640625" bestFit="1" customWidth="1"/>
    <col min="27" max="27" width="16.77734375" customWidth="1"/>
    <col min="28" max="29" width="15" customWidth="1"/>
    <col min="30" max="30" width="24.44140625" customWidth="1"/>
    <col min="31" max="31" width="12.44140625" customWidth="1"/>
    <col min="32" max="32" width="14" customWidth="1"/>
    <col min="33" max="33" width="13.109375" customWidth="1"/>
    <col min="34" max="34" width="14" customWidth="1"/>
    <col min="35" max="35" width="10.21875" customWidth="1"/>
    <col min="36" max="36" width="24.44140625" customWidth="1"/>
    <col min="37" max="37" width="14.5546875" customWidth="1"/>
    <col min="38" max="38" width="12.33203125" customWidth="1"/>
  </cols>
  <sheetData>
    <row r="1" spans="1:38" s="1" customFormat="1" ht="15" customHeight="1" x14ac:dyDescent="0.3">
      <c r="A1" s="82" t="s">
        <v>806</v>
      </c>
      <c r="B1" s="83"/>
      <c r="C1" s="84"/>
      <c r="D1" s="88" t="s">
        <v>802</v>
      </c>
      <c r="E1" s="89"/>
      <c r="F1" s="89"/>
      <c r="G1" s="89"/>
      <c r="H1" s="85" t="s">
        <v>6</v>
      </c>
      <c r="I1" s="86"/>
      <c r="J1" s="86"/>
      <c r="K1" s="86"/>
      <c r="L1" s="86"/>
      <c r="M1" s="87"/>
      <c r="N1" s="93" t="s">
        <v>420</v>
      </c>
      <c r="O1" s="93"/>
      <c r="P1" s="93"/>
      <c r="Q1" s="93"/>
      <c r="R1" s="93"/>
      <c r="S1" s="93"/>
      <c r="T1" s="93"/>
      <c r="U1" s="94" t="s">
        <v>421</v>
      </c>
      <c r="V1" s="94"/>
      <c r="W1" s="94"/>
      <c r="X1" s="94"/>
      <c r="Y1" s="94"/>
      <c r="Z1" s="95" t="s">
        <v>422</v>
      </c>
      <c r="AA1" s="95"/>
      <c r="AB1" s="95"/>
      <c r="AC1" s="95"/>
      <c r="AD1" s="95"/>
      <c r="AE1" s="90"/>
      <c r="AF1" s="90"/>
      <c r="AG1" s="90"/>
      <c r="AH1" s="90"/>
      <c r="AI1" s="90"/>
      <c r="AJ1" s="91"/>
      <c r="AK1" s="92" t="s">
        <v>2</v>
      </c>
      <c r="AL1" s="92"/>
    </row>
    <row r="2" spans="1:38" s="2" customFormat="1" ht="109.8" customHeight="1" x14ac:dyDescent="0.3">
      <c r="A2" s="8" t="s">
        <v>800</v>
      </c>
      <c r="B2" s="57" t="s">
        <v>824</v>
      </c>
      <c r="C2" s="57" t="s">
        <v>827</v>
      </c>
      <c r="D2" s="40" t="s">
        <v>807</v>
      </c>
      <c r="E2" s="40" t="s">
        <v>808</v>
      </c>
      <c r="F2" s="40" t="s">
        <v>801</v>
      </c>
      <c r="G2" s="40" t="s">
        <v>823</v>
      </c>
      <c r="H2" s="57" t="s">
        <v>3</v>
      </c>
      <c r="I2" s="57" t="s">
        <v>816</v>
      </c>
      <c r="J2" s="57" t="s">
        <v>815</v>
      </c>
      <c r="K2" s="57" t="s">
        <v>825</v>
      </c>
      <c r="L2" s="57" t="s">
        <v>8</v>
      </c>
      <c r="M2" s="57" t="s">
        <v>7</v>
      </c>
      <c r="N2" s="3" t="s">
        <v>782</v>
      </c>
      <c r="O2" s="3" t="s">
        <v>783</v>
      </c>
      <c r="P2" s="3" t="s">
        <v>0</v>
      </c>
      <c r="Q2" s="3" t="s">
        <v>811</v>
      </c>
      <c r="R2" s="3" t="s">
        <v>812</v>
      </c>
      <c r="S2" s="22" t="s">
        <v>813</v>
      </c>
      <c r="T2" s="3" t="s">
        <v>785</v>
      </c>
      <c r="U2" s="4" t="s">
        <v>814</v>
      </c>
      <c r="V2" s="4" t="s">
        <v>784</v>
      </c>
      <c r="W2" s="25" t="s">
        <v>809</v>
      </c>
      <c r="X2" s="4" t="s">
        <v>810</v>
      </c>
      <c r="Y2" s="4" t="s">
        <v>786</v>
      </c>
      <c r="Z2" s="5" t="s">
        <v>787</v>
      </c>
      <c r="AA2" s="5" t="s">
        <v>817</v>
      </c>
      <c r="AB2" s="5" t="s">
        <v>819</v>
      </c>
      <c r="AC2" s="5" t="s">
        <v>792</v>
      </c>
      <c r="AD2" s="5" t="s">
        <v>788</v>
      </c>
      <c r="AE2" s="6" t="s">
        <v>820</v>
      </c>
      <c r="AF2" s="6" t="s">
        <v>821</v>
      </c>
      <c r="AG2" s="6" t="s">
        <v>789</v>
      </c>
      <c r="AH2" s="6" t="s">
        <v>818</v>
      </c>
      <c r="AI2" s="6" t="s">
        <v>1</v>
      </c>
      <c r="AJ2" s="6" t="s">
        <v>790</v>
      </c>
      <c r="AK2" s="7" t="s">
        <v>799</v>
      </c>
      <c r="AL2" s="7" t="s">
        <v>791</v>
      </c>
    </row>
    <row r="3" spans="1:38" s="19" customFormat="1" ht="14.4" customHeight="1" x14ac:dyDescent="0.3">
      <c r="A3" s="12" t="s">
        <v>482</v>
      </c>
      <c r="B3" s="68" t="s">
        <v>40</v>
      </c>
      <c r="C3" s="73">
        <v>1394166.6666666667</v>
      </c>
      <c r="D3" s="14">
        <v>199500</v>
      </c>
      <c r="E3" s="14">
        <v>287000</v>
      </c>
      <c r="F3" s="18">
        <v>0</v>
      </c>
      <c r="G3" s="12" t="s">
        <v>804</v>
      </c>
      <c r="H3" s="64">
        <v>0.16</v>
      </c>
      <c r="I3" s="64">
        <v>0.16</v>
      </c>
      <c r="J3" s="64">
        <v>0.24</v>
      </c>
      <c r="K3" s="71">
        <v>0.18067123782028149</v>
      </c>
      <c r="L3" s="65">
        <v>212836.9</v>
      </c>
      <c r="M3" s="65">
        <v>212836.9</v>
      </c>
      <c r="N3" s="13">
        <v>213</v>
      </c>
      <c r="O3" s="13">
        <v>186</v>
      </c>
      <c r="P3" s="30" t="s">
        <v>4</v>
      </c>
      <c r="Q3" s="13">
        <v>213</v>
      </c>
      <c r="R3" s="13">
        <v>186</v>
      </c>
      <c r="S3" s="23">
        <v>199.5</v>
      </c>
      <c r="T3" s="41" t="s">
        <v>483</v>
      </c>
      <c r="U3" s="13">
        <v>415</v>
      </c>
      <c r="V3" s="13">
        <v>281</v>
      </c>
      <c r="W3" s="24">
        <v>287</v>
      </c>
      <c r="X3" s="58" t="str">
        <f>HYPERLINK("http://drinc.ca.gov/DNN/Portals/0/SelfCert/eea9dd10-344c-46c4-b148-7b4a9f20c8ed.xlsx","WS1")</f>
        <v>WS1</v>
      </c>
      <c r="Y3" s="10"/>
      <c r="Z3" s="26" t="s">
        <v>13</v>
      </c>
      <c r="AA3" s="13">
        <v>-87.5</v>
      </c>
      <c r="AB3" s="15">
        <v>0</v>
      </c>
      <c r="AC3" s="30" t="s">
        <v>14</v>
      </c>
      <c r="AD3" s="29"/>
      <c r="AE3" s="32"/>
      <c r="AF3" s="32"/>
      <c r="AG3" s="17">
        <v>0</v>
      </c>
      <c r="AH3" s="27"/>
      <c r="AI3" s="27"/>
      <c r="AJ3" s="11"/>
      <c r="AK3" s="58" t="str">
        <f>HYPERLINK("http://drinc.ca.gov/DNN/Portals/0/SelfCert/b90501ad-f0c6-4153-965d-e89e89da5008.pdf","Cert")</f>
        <v>Cert</v>
      </c>
      <c r="AL3" s="58" t="str">
        <f>HYPERLINK("http://drinc.ca.gov/DNN/Portals/0/SelfCert/db817c38-2850-47d8-bc71-8294dfd6f34a.xlsx","Analysis")</f>
        <v>Analysis</v>
      </c>
    </row>
    <row r="4" spans="1:38" s="19" customFormat="1" ht="14.4" customHeight="1" x14ac:dyDescent="0.3">
      <c r="A4" s="12" t="s">
        <v>343</v>
      </c>
      <c r="B4" s="68" t="s">
        <v>38</v>
      </c>
      <c r="C4" s="73">
        <v>10254.833333333334</v>
      </c>
      <c r="D4" s="14">
        <v>1227</v>
      </c>
      <c r="E4" s="14">
        <v>1894</v>
      </c>
      <c r="F4" s="18">
        <v>0</v>
      </c>
      <c r="G4" s="12" t="s">
        <v>776</v>
      </c>
      <c r="H4" s="64">
        <v>0.12</v>
      </c>
      <c r="I4" s="64">
        <v>0.12</v>
      </c>
      <c r="J4" s="64">
        <v>0.18</v>
      </c>
      <c r="K4" s="71">
        <v>0.19535785470929001</v>
      </c>
      <c r="L4" s="65">
        <v>1261.2</v>
      </c>
      <c r="M4" s="65">
        <v>1261.2</v>
      </c>
      <c r="N4" s="13">
        <v>1273</v>
      </c>
      <c r="O4" s="13">
        <v>1181</v>
      </c>
      <c r="P4" s="30" t="s">
        <v>4</v>
      </c>
      <c r="Q4" s="13">
        <v>1273</v>
      </c>
      <c r="R4" s="13">
        <v>1181</v>
      </c>
      <c r="S4" s="23">
        <v>1227</v>
      </c>
      <c r="T4" s="41"/>
      <c r="U4" s="13">
        <v>1894</v>
      </c>
      <c r="V4" s="13">
        <v>1894</v>
      </c>
      <c r="W4" s="24">
        <v>1894</v>
      </c>
      <c r="X4" s="58" t="str">
        <f>HYPERLINK("http://drinc.ca.gov/DNN/Portals/0/SelfCert/268df355-16c2-4e67-b22d-44d40a92db9b.xlsx","WS1")</f>
        <v>WS1</v>
      </c>
      <c r="Y4" s="10"/>
      <c r="Z4" s="26" t="s">
        <v>13</v>
      </c>
      <c r="AA4" s="13">
        <v>-667</v>
      </c>
      <c r="AB4" s="66">
        <v>0</v>
      </c>
      <c r="AC4" s="30" t="s">
        <v>14</v>
      </c>
      <c r="AD4" s="29"/>
      <c r="AE4" s="32"/>
      <c r="AF4" s="32"/>
      <c r="AG4" s="17"/>
      <c r="AH4" s="27"/>
      <c r="AI4" s="27"/>
      <c r="AJ4" s="11"/>
      <c r="AK4" s="58" t="str">
        <f>HYPERLINK("http://drinc.ca.gov/DNN/Portals/0/SelfCert/cba30f5f-db31-462d-96bf-0c2a1a66aea4.pdf","Cert")</f>
        <v>Cert</v>
      </c>
      <c r="AL4" s="58" t="str">
        <f>HYPERLINK("http://drinc.ca.gov/DNN/Portals/0/SelfCert/d1ec1450-aa8b-4d3f-babe-ba7121e23e33.docx","Analysis")</f>
        <v>Analysis</v>
      </c>
    </row>
    <row r="5" spans="1:38" s="19" customFormat="1" ht="14.4" customHeight="1" x14ac:dyDescent="0.3">
      <c r="A5" s="12" t="s">
        <v>327</v>
      </c>
      <c r="B5" s="68" t="s">
        <v>16</v>
      </c>
      <c r="C5" s="73">
        <v>75264.583333333328</v>
      </c>
      <c r="D5" s="14">
        <v>21904.799999999999</v>
      </c>
      <c r="E5" s="14">
        <v>21921</v>
      </c>
      <c r="F5" s="18">
        <v>0</v>
      </c>
      <c r="G5" s="68" t="s">
        <v>776</v>
      </c>
      <c r="H5" s="64">
        <v>0.36</v>
      </c>
      <c r="I5" s="64">
        <v>0.28000000000000003</v>
      </c>
      <c r="J5" s="64">
        <v>0.37</v>
      </c>
      <c r="K5" s="71">
        <v>0.33239359267734547</v>
      </c>
      <c r="L5" s="65">
        <v>21956.9</v>
      </c>
      <c r="M5" s="65">
        <v>21956.9</v>
      </c>
      <c r="N5" s="13">
        <v>22162</v>
      </c>
      <c r="O5" s="13">
        <v>21647.599999999999</v>
      </c>
      <c r="P5" s="30" t="s">
        <v>4</v>
      </c>
      <c r="Q5" s="13">
        <v>22162</v>
      </c>
      <c r="R5" s="13">
        <v>21647.599999999999</v>
      </c>
      <c r="S5" s="23">
        <v>21904.799999999999</v>
      </c>
      <c r="T5" s="41"/>
      <c r="U5" s="13">
        <v>21921</v>
      </c>
      <c r="V5" s="13">
        <v>21921</v>
      </c>
      <c r="W5" s="24">
        <v>21921</v>
      </c>
      <c r="X5" s="58" t="str">
        <f>HYPERLINK("http://drinc.ca.gov/DNN/Portals/0/SelfCert/3af66c90-70d9-4d85-8253-87be0775aea9.xlsx","WS1")</f>
        <v>WS1</v>
      </c>
      <c r="Y5" s="10"/>
      <c r="Z5" s="26" t="s">
        <v>13</v>
      </c>
      <c r="AA5" s="13">
        <v>-16.2</v>
      </c>
      <c r="AB5" s="15">
        <v>0</v>
      </c>
      <c r="AC5" s="30" t="s">
        <v>18</v>
      </c>
      <c r="AD5" s="29" t="s">
        <v>769</v>
      </c>
      <c r="AE5" s="32"/>
      <c r="AF5" s="32"/>
      <c r="AG5" s="17"/>
      <c r="AH5" s="27"/>
      <c r="AI5" s="27"/>
      <c r="AJ5" s="11"/>
      <c r="AK5" s="58" t="str">
        <f>HYPERLINK("http://drinc.ca.gov/DNN/Portals/0/SelfCert/6f67ddc1-cc63-4b3f-a55e-5f336fe9980e.pdf","Cert")</f>
        <v>Cert</v>
      </c>
      <c r="AL5" s="58" t="str">
        <f>HYPERLINK("http://drinc.ca.gov/DNN/Portals/0/SelfCert/1286f781-f741-4e93-ad22-91e3f28e6522.xlsx","Analysis")</f>
        <v>Analysis</v>
      </c>
    </row>
    <row r="6" spans="1:38" s="19" customFormat="1" ht="14.4" customHeight="1" x14ac:dyDescent="0.3">
      <c r="A6" s="12" t="s">
        <v>622</v>
      </c>
      <c r="B6" s="68" t="s">
        <v>16</v>
      </c>
      <c r="C6" s="73">
        <v>484561.5</v>
      </c>
      <c r="D6" s="14">
        <v>58735</v>
      </c>
      <c r="E6" s="14">
        <v>58795</v>
      </c>
      <c r="F6" s="18">
        <v>0</v>
      </c>
      <c r="G6" s="12" t="s">
        <v>798</v>
      </c>
      <c r="H6" s="64">
        <v>0.16</v>
      </c>
      <c r="I6" s="64">
        <v>0.09</v>
      </c>
      <c r="J6" s="64">
        <v>0.16</v>
      </c>
      <c r="K6" s="71">
        <v>0.15728262876130705</v>
      </c>
      <c r="L6" s="65">
        <v>60042</v>
      </c>
      <c r="M6" s="65">
        <v>60042</v>
      </c>
      <c r="N6" s="13">
        <v>60043</v>
      </c>
      <c r="O6" s="13">
        <v>57427</v>
      </c>
      <c r="P6" s="30" t="s">
        <v>4</v>
      </c>
      <c r="Q6" s="13">
        <v>60043</v>
      </c>
      <c r="R6" s="13">
        <v>57427</v>
      </c>
      <c r="S6" s="23">
        <v>58735</v>
      </c>
      <c r="T6" s="41"/>
      <c r="U6" s="13">
        <v>58735</v>
      </c>
      <c r="V6" s="13">
        <v>58735</v>
      </c>
      <c r="W6" s="24">
        <v>58735</v>
      </c>
      <c r="X6" s="58" t="str">
        <f>HYPERLINK("http://drinc.ca.gov/DNN/Portals/0/SelfCert/cc3dc841-cac1-4bed-b206-aad64ae3491b.xlsx","WS1")</f>
        <v>WS1</v>
      </c>
      <c r="Y6" s="10" t="s">
        <v>768</v>
      </c>
      <c r="Z6" s="26" t="s">
        <v>13</v>
      </c>
      <c r="AA6" s="13">
        <v>0</v>
      </c>
      <c r="AB6" s="15">
        <v>0</v>
      </c>
      <c r="AC6" s="30" t="s">
        <v>14</v>
      </c>
      <c r="AD6" s="29"/>
      <c r="AE6" s="32"/>
      <c r="AF6" s="32"/>
      <c r="AG6" s="17"/>
      <c r="AH6" s="27"/>
      <c r="AI6" s="27"/>
      <c r="AJ6" s="11"/>
      <c r="AK6" s="58" t="str">
        <f>HYPERLINK("http://drinc.ca.gov/DNN/Portals/0/SelfCert/41cda83f-13c8-42f9-ae74-90d79e72fe8f.pdf","Cert")</f>
        <v>Cert</v>
      </c>
      <c r="AL6" s="58" t="str">
        <f>HYPERLINK("http://drinc.ca.gov/DNN/Portals/0/SelfCert/d0f9a162-197b-419f-9665-e62d034015fd.docx","Analysis")</f>
        <v>Analysis</v>
      </c>
    </row>
    <row r="7" spans="1:38" s="19" customFormat="1" ht="14.4" customHeight="1" x14ac:dyDescent="0.3">
      <c r="A7" s="12" t="s">
        <v>653</v>
      </c>
      <c r="B7" s="68" t="s">
        <v>27</v>
      </c>
      <c r="C7" s="73">
        <v>71253.416666666672</v>
      </c>
      <c r="D7" s="14">
        <v>21477.599999999999</v>
      </c>
      <c r="E7" s="14">
        <v>18000</v>
      </c>
      <c r="F7" s="18">
        <v>0.16</v>
      </c>
      <c r="G7" s="68" t="s">
        <v>776</v>
      </c>
      <c r="H7" s="64">
        <v>0.32</v>
      </c>
      <c r="I7" s="64">
        <v>0.28999999999999998</v>
      </c>
      <c r="J7" s="64">
        <v>0.27</v>
      </c>
      <c r="K7" s="71">
        <v>0.13152794300455806</v>
      </c>
      <c r="L7" s="65">
        <v>22637.1</v>
      </c>
      <c r="M7" s="65">
        <v>22637.1</v>
      </c>
      <c r="N7" s="13">
        <v>7432.2</v>
      </c>
      <c r="O7" s="13">
        <v>6564.8</v>
      </c>
      <c r="P7" s="30" t="s">
        <v>5</v>
      </c>
      <c r="Q7" s="13">
        <v>22808.6</v>
      </c>
      <c r="R7" s="13">
        <v>20146.599999999999</v>
      </c>
      <c r="S7" s="23">
        <v>21477.599999999999</v>
      </c>
      <c r="T7" s="41"/>
      <c r="U7" s="13">
        <v>18000</v>
      </c>
      <c r="V7" s="13">
        <v>18000</v>
      </c>
      <c r="W7" s="24">
        <v>18000</v>
      </c>
      <c r="X7" s="58" t="str">
        <f>HYPERLINK("https://drinc.ca.gov/DNN/Portals/0/SelfCert/8ec86b6c-83a1-4a07-9d32-ed67dd84d8fc.xlsx","WS1")</f>
        <v>WS1</v>
      </c>
      <c r="Y7" s="10"/>
      <c r="Z7" s="26" t="s">
        <v>13</v>
      </c>
      <c r="AA7" s="13">
        <v>3477.6</v>
      </c>
      <c r="AB7" s="15">
        <v>0.16</v>
      </c>
      <c r="AC7" s="30" t="s">
        <v>18</v>
      </c>
      <c r="AD7" s="29" t="s">
        <v>654</v>
      </c>
      <c r="AE7" s="32"/>
      <c r="AF7" s="32"/>
      <c r="AG7" s="17"/>
      <c r="AH7" s="27"/>
      <c r="AI7" s="27"/>
      <c r="AJ7" s="11"/>
      <c r="AK7" s="58" t="str">
        <f>HYPERLINK("https://drinc.ca.gov/DNN/Portals/0/SelfCert/76d0e695-927d-45ae-bdf1-c978231fe2eb.pdf","Cert")</f>
        <v>Cert</v>
      </c>
      <c r="AL7" s="58" t="str">
        <f>HYPERLINK("https://drinc.ca.gov/DNN/Portals/0/SelfCert/85aefbde-bcb3-44e0-9353-ace5e8e203d0.doc","Analysis")</f>
        <v>Analysis</v>
      </c>
    </row>
    <row r="8" spans="1:38" s="19" customFormat="1" ht="14.4" customHeight="1" x14ac:dyDescent="0.3">
      <c r="A8" s="12" t="s">
        <v>15</v>
      </c>
      <c r="B8" s="68" t="s">
        <v>16</v>
      </c>
      <c r="C8" s="73">
        <v>118731</v>
      </c>
      <c r="D8" s="14">
        <v>26405.3</v>
      </c>
      <c r="E8" s="14">
        <v>30733</v>
      </c>
      <c r="F8" s="18">
        <v>0</v>
      </c>
      <c r="G8" s="68" t="s">
        <v>776</v>
      </c>
      <c r="H8" s="64">
        <v>0.28000000000000003</v>
      </c>
      <c r="I8" s="64">
        <v>0.23</v>
      </c>
      <c r="J8" s="64">
        <v>0.21</v>
      </c>
      <c r="K8" s="71">
        <v>0.23373363711435124</v>
      </c>
      <c r="L8" s="65">
        <v>26810.2</v>
      </c>
      <c r="M8" s="65">
        <v>26810.2</v>
      </c>
      <c r="N8" s="13">
        <v>26810.2</v>
      </c>
      <c r="O8" s="13">
        <v>26000.5</v>
      </c>
      <c r="P8" s="30" t="s">
        <v>4</v>
      </c>
      <c r="Q8" s="13">
        <v>26810.2</v>
      </c>
      <c r="R8" s="13">
        <v>26000.5</v>
      </c>
      <c r="S8" s="23">
        <v>26405.3</v>
      </c>
      <c r="T8" s="41"/>
      <c r="U8" s="13">
        <v>30000</v>
      </c>
      <c r="V8" s="13">
        <v>30733</v>
      </c>
      <c r="W8" s="24">
        <v>30733</v>
      </c>
      <c r="X8" s="58" t="str">
        <f>HYPERLINK("http://drinc.ca.gov/DNN/Portals/0/SelfCert/96a37f5e-13dd-464a-992f-3cef541b41fc.xlsx","WS1")</f>
        <v>WS1</v>
      </c>
      <c r="Y8" s="10" t="s">
        <v>17</v>
      </c>
      <c r="Z8" s="26" t="s">
        <v>13</v>
      </c>
      <c r="AA8" s="13">
        <v>-4327.7</v>
      </c>
      <c r="AB8" s="66">
        <v>0</v>
      </c>
      <c r="AC8" s="30" t="s">
        <v>18</v>
      </c>
      <c r="AD8" s="29" t="s">
        <v>19</v>
      </c>
      <c r="AE8" s="32"/>
      <c r="AF8" s="32"/>
      <c r="AG8" s="17"/>
      <c r="AH8" s="27"/>
      <c r="AI8" s="27" t="str">
        <f>HYPERLINK("http://drinc.ca.gov/DNN/Portals/0/SelfCert/9767926e-9f5e-49ff-ac48-01c51778a115.pdf","Legal")</f>
        <v>Legal</v>
      </c>
      <c r="AJ8" s="11"/>
      <c r="AK8" s="58" t="str">
        <f>HYPERLINK("http://drinc.ca.gov/DNN/Portals/0/SelfCert/9f9dc34d-ba3b-4a21-9a62-2ad35cc31560.pdf","Cert")</f>
        <v>Cert</v>
      </c>
      <c r="AL8" s="58" t="str">
        <f>HYPERLINK("http://drinc.ca.gov/DNN/Portals/0/SelfCert/98bc1189-c3f2-4d43-bd0f-3103c7699821.xlsx","Analysis")</f>
        <v>Analysis</v>
      </c>
    </row>
    <row r="9" spans="1:38" s="19" customFormat="1" ht="14.4" customHeight="1" x14ac:dyDescent="0.3">
      <c r="A9" s="12" t="s">
        <v>452</v>
      </c>
      <c r="B9" s="68" t="s">
        <v>40</v>
      </c>
      <c r="C9" s="73">
        <v>16680</v>
      </c>
      <c r="D9" s="14">
        <v>2222.4</v>
      </c>
      <c r="E9" s="14">
        <v>2350</v>
      </c>
      <c r="F9" s="18">
        <v>0</v>
      </c>
      <c r="G9" s="68" t="s">
        <v>776</v>
      </c>
      <c r="H9" s="64">
        <v>0.08</v>
      </c>
      <c r="I9" s="64">
        <v>0.08</v>
      </c>
      <c r="J9" s="64">
        <v>0.22</v>
      </c>
      <c r="K9" s="71">
        <v>3.3357296908698819E-2</v>
      </c>
      <c r="L9" s="65">
        <v>2328.4</v>
      </c>
      <c r="M9" s="65">
        <v>2328.4</v>
      </c>
      <c r="N9" s="13">
        <v>758.7</v>
      </c>
      <c r="O9" s="13">
        <v>689.6</v>
      </c>
      <c r="P9" s="30" t="s">
        <v>5</v>
      </c>
      <c r="Q9" s="13">
        <v>2328.4</v>
      </c>
      <c r="R9" s="13">
        <v>2116.4</v>
      </c>
      <c r="S9" s="23">
        <v>2222.4</v>
      </c>
      <c r="T9" s="41"/>
      <c r="U9" s="13">
        <v>2350</v>
      </c>
      <c r="V9" s="13">
        <v>2248</v>
      </c>
      <c r="W9" s="24">
        <v>2350</v>
      </c>
      <c r="X9" s="58" t="str">
        <f>HYPERLINK("https://drinc.ca.gov/DNN/Portals/0/SelfCert/63457002-98f4-4482-9b89-31fcd43234da.xlsx","WS1")</f>
        <v>WS1</v>
      </c>
      <c r="Y9" s="10"/>
      <c r="Z9" s="26" t="s">
        <v>13</v>
      </c>
      <c r="AA9" s="13">
        <v>-127.6</v>
      </c>
      <c r="AB9" s="66">
        <v>0</v>
      </c>
      <c r="AC9" s="30" t="s">
        <v>14</v>
      </c>
      <c r="AD9" s="29"/>
      <c r="AE9" s="32"/>
      <c r="AF9" s="32"/>
      <c r="AG9" s="17"/>
      <c r="AH9" s="27"/>
      <c r="AI9" s="27"/>
      <c r="AJ9" s="11"/>
      <c r="AK9" s="58" t="str">
        <f>HYPERLINK("https://drinc.ca.gov/DNN/Portals/0/SelfCert/7d57d231-4abb-4bb3-af7d-0aac2e9aa29d.pdf","Cert")</f>
        <v>Cert</v>
      </c>
      <c r="AL9" s="58" t="str">
        <f>HYPERLINK("https://drinc.ca.gov/DNN/Portals/0/SelfCert/f30cb464-1744-4f27-81a2-498739fc82b0.docx","Analysis")</f>
        <v>Analysis</v>
      </c>
    </row>
    <row r="10" spans="1:38" s="19" customFormat="1" ht="14.4" customHeight="1" x14ac:dyDescent="0.3">
      <c r="A10" s="12" t="s">
        <v>516</v>
      </c>
      <c r="B10" s="68" t="s">
        <v>50</v>
      </c>
      <c r="C10" s="73">
        <v>66959.666666666672</v>
      </c>
      <c r="D10" s="14">
        <v>13337.5</v>
      </c>
      <c r="E10" s="14">
        <v>14700</v>
      </c>
      <c r="F10" s="18">
        <v>0</v>
      </c>
      <c r="G10" s="68" t="s">
        <v>776</v>
      </c>
      <c r="H10" s="64">
        <v>0.32</v>
      </c>
      <c r="I10" s="64">
        <v>0.28999999999999998</v>
      </c>
      <c r="J10" s="64">
        <v>0.35</v>
      </c>
      <c r="K10" s="71">
        <v>0.26031920748486526</v>
      </c>
      <c r="L10" s="65">
        <v>14859</v>
      </c>
      <c r="M10" s="65">
        <v>14859</v>
      </c>
      <c r="N10" s="13">
        <v>14882</v>
      </c>
      <c r="O10" s="13">
        <v>11793</v>
      </c>
      <c r="P10" s="30" t="s">
        <v>4</v>
      </c>
      <c r="Q10" s="13">
        <v>14882</v>
      </c>
      <c r="R10" s="13">
        <v>11793</v>
      </c>
      <c r="S10" s="23">
        <v>13337.5</v>
      </c>
      <c r="T10" s="41"/>
      <c r="U10" s="13">
        <v>24150</v>
      </c>
      <c r="V10" s="13">
        <v>17010</v>
      </c>
      <c r="W10" s="24">
        <v>14700</v>
      </c>
      <c r="X10" s="58" t="str">
        <f>HYPERLINK("http://drinc.ca.gov/DNN/Portals/0/SelfCert/ff54a120-83a2-48c7-81c5-b6eeeff5e858.xlsx","WS1")</f>
        <v>WS1</v>
      </c>
      <c r="Y10" s="10" t="s">
        <v>517</v>
      </c>
      <c r="Z10" s="26" t="s">
        <v>13</v>
      </c>
      <c r="AA10" s="13">
        <v>-1362.5</v>
      </c>
      <c r="AB10" s="66">
        <v>0</v>
      </c>
      <c r="AC10" s="30" t="s">
        <v>18</v>
      </c>
      <c r="AD10" s="29" t="s">
        <v>518</v>
      </c>
      <c r="AE10" s="32"/>
      <c r="AF10" s="32"/>
      <c r="AG10" s="17"/>
      <c r="AH10" s="27"/>
      <c r="AI10" s="27"/>
      <c r="AJ10" s="11"/>
      <c r="AK10" s="58" t="str">
        <f>HYPERLINK("http://drinc.ca.gov/DNN/Portals/0/SelfCert/dbe0937d-46df-4994-b7d8-a538eab62c05.pdf","Cert")</f>
        <v>Cert</v>
      </c>
      <c r="AL10" s="58" t="str">
        <f>HYPERLINK("http://drinc.ca.gov/DNN/Portals/0/SelfCert/83219ab2-1f1b-49b6-9858-1c2826e9e280.docx","Analysis")</f>
        <v>Analysis</v>
      </c>
    </row>
    <row r="11" spans="1:38" s="19" customFormat="1" ht="14.4" customHeight="1" x14ac:dyDescent="0.3">
      <c r="A11" s="12" t="s">
        <v>491</v>
      </c>
      <c r="B11" s="68" t="s">
        <v>40</v>
      </c>
      <c r="C11" s="73">
        <v>30488.75</v>
      </c>
      <c r="D11" s="14">
        <v>4324.1000000000004</v>
      </c>
      <c r="E11" s="14">
        <v>4485</v>
      </c>
      <c r="F11" s="18">
        <v>0</v>
      </c>
      <c r="G11" s="68" t="s">
        <v>776</v>
      </c>
      <c r="H11" s="64">
        <v>0.16</v>
      </c>
      <c r="I11" s="64">
        <v>0.16</v>
      </c>
      <c r="J11" s="64">
        <v>0.28999999999999998</v>
      </c>
      <c r="K11" s="71">
        <v>0.31337552497934895</v>
      </c>
      <c r="L11" s="65">
        <v>4790.3</v>
      </c>
      <c r="M11" s="65">
        <v>4790.3</v>
      </c>
      <c r="N11" s="13">
        <v>1561</v>
      </c>
      <c r="O11" s="13">
        <v>1257</v>
      </c>
      <c r="P11" s="30" t="s">
        <v>5</v>
      </c>
      <c r="Q11" s="13">
        <v>4790.5</v>
      </c>
      <c r="R11" s="13">
        <v>3857.6</v>
      </c>
      <c r="S11" s="23">
        <v>4324.1000000000004</v>
      </c>
      <c r="T11" s="41" t="s">
        <v>492</v>
      </c>
      <c r="U11" s="13">
        <v>4485</v>
      </c>
      <c r="V11" s="13">
        <v>4485</v>
      </c>
      <c r="W11" s="24">
        <v>4485</v>
      </c>
      <c r="X11" s="58" t="str">
        <f>HYPERLINK("http://drinc.ca.gov/DNN/Portals/0/SelfCert/6d4db96c-ed1b-4828-bf14-9d8df377f78c.xlsx","WS1")</f>
        <v>WS1</v>
      </c>
      <c r="Y11" s="10" t="s">
        <v>493</v>
      </c>
      <c r="Z11" s="26" t="s">
        <v>13</v>
      </c>
      <c r="AA11" s="13">
        <v>-160.9</v>
      </c>
      <c r="AB11" s="66">
        <v>0</v>
      </c>
      <c r="AC11" s="30" t="s">
        <v>14</v>
      </c>
      <c r="AD11" s="29"/>
      <c r="AE11" s="32"/>
      <c r="AF11" s="32"/>
      <c r="AG11" s="17"/>
      <c r="AH11" s="27"/>
      <c r="AI11" s="27"/>
      <c r="AJ11" s="11"/>
      <c r="AK11" s="58" t="str">
        <f>HYPERLINK("http://drinc.ca.gov/DNN/Portals/0/SelfCert/e0f2669b-f030-4754-a7b4-cc79aad799e6.pdf","Cert")</f>
        <v>Cert</v>
      </c>
      <c r="AL11" s="58" t="str">
        <f>HYPERLINK("http://drinc.ca.gov/DNN/Portals/0/SelfCert/fcea3199-7e25-4d32-8675-b4320c8a912d.docx","Analysis")</f>
        <v>Analysis</v>
      </c>
    </row>
    <row r="12" spans="1:38" s="19" customFormat="1" ht="14.4" customHeight="1" x14ac:dyDescent="0.3">
      <c r="A12" s="12" t="s">
        <v>703</v>
      </c>
      <c r="B12" s="68" t="s">
        <v>50</v>
      </c>
      <c r="C12" s="73">
        <v>14835.75</v>
      </c>
      <c r="D12" s="14">
        <v>4535.2</v>
      </c>
      <c r="E12" s="14">
        <v>46000</v>
      </c>
      <c r="F12" s="18">
        <v>0</v>
      </c>
      <c r="G12" s="68" t="s">
        <v>776</v>
      </c>
      <c r="H12" s="64">
        <v>0.36</v>
      </c>
      <c r="I12" s="64">
        <v>0.33</v>
      </c>
      <c r="J12" s="64">
        <v>0.4</v>
      </c>
      <c r="K12" s="71">
        <v>0.26763469140274354</v>
      </c>
      <c r="L12" s="65">
        <v>5181.6000000000004</v>
      </c>
      <c r="M12" s="65">
        <v>5181.6000000000004</v>
      </c>
      <c r="N12" s="13">
        <v>5138.6000000000004</v>
      </c>
      <c r="O12" s="13">
        <v>3931.8</v>
      </c>
      <c r="P12" s="30" t="s">
        <v>4</v>
      </c>
      <c r="Q12" s="13">
        <v>5138.6000000000004</v>
      </c>
      <c r="R12" s="13">
        <v>3931.8</v>
      </c>
      <c r="S12" s="23">
        <v>4535.2</v>
      </c>
      <c r="T12" s="41"/>
      <c r="U12" s="13">
        <v>77500</v>
      </c>
      <c r="V12" s="13">
        <v>53700</v>
      </c>
      <c r="W12" s="24">
        <v>46000</v>
      </c>
      <c r="X12" s="56" t="str">
        <f>HYPERLINK("http://drinc.ca.gov/DNN/Portals/0/SelfCert/c2343f02-0e68-4703-9705-eaeca4c4b4bd.xlsx","WS1")</f>
        <v>WS1</v>
      </c>
      <c r="Y12" s="10"/>
      <c r="Z12" s="26" t="s">
        <v>13</v>
      </c>
      <c r="AA12" s="13">
        <v>-41464.800000000003</v>
      </c>
      <c r="AB12" s="66">
        <v>0</v>
      </c>
      <c r="AC12" s="30" t="s">
        <v>18</v>
      </c>
      <c r="AD12" s="29"/>
      <c r="AE12" s="32">
        <v>4532</v>
      </c>
      <c r="AF12" s="32">
        <v>46000</v>
      </c>
      <c r="AG12" s="17"/>
      <c r="AH12" s="27" t="str">
        <f>HYPERLINK("http://drinc.ca.gov/DNN/Portals/0/SelfCert/b56edf1e-7810-4fbd-ac70-141c3a3e7603.xlsx","WS2")</f>
        <v>WS2</v>
      </c>
      <c r="AI12" s="27"/>
      <c r="AJ12" s="11"/>
      <c r="AK12" s="58" t="str">
        <f>HYPERLINK("http://drinc.ca.gov/DNN/Portals/0/SelfCert/6f83882c-d510-4acd-bf1a-d13f546e2d7a.pdf","Cert")</f>
        <v>Cert</v>
      </c>
      <c r="AL12" s="56" t="str">
        <f>HYPERLINK("http://drinc.ca.gov/DNN/Portals/0/SelfCert/6cf91705-366f-4165-aff0-92dcf69f5dbc.docx","Analysis")</f>
        <v>Analysis</v>
      </c>
    </row>
    <row r="13" spans="1:38" s="19" customFormat="1" ht="14.4" customHeight="1" x14ac:dyDescent="0.3">
      <c r="A13" s="12" t="s">
        <v>568</v>
      </c>
      <c r="B13" s="68" t="s">
        <v>40</v>
      </c>
      <c r="C13" s="73">
        <v>80235.166666666672</v>
      </c>
      <c r="D13" s="14">
        <v>9899</v>
      </c>
      <c r="E13" s="14">
        <v>9899</v>
      </c>
      <c r="F13" s="18">
        <v>0</v>
      </c>
      <c r="G13" s="68" t="s">
        <v>776</v>
      </c>
      <c r="H13" s="64">
        <v>0.12</v>
      </c>
      <c r="I13" s="64">
        <v>0.12</v>
      </c>
      <c r="J13" s="64">
        <v>0.35</v>
      </c>
      <c r="K13" s="71">
        <v>0.32471884276638563</v>
      </c>
      <c r="L13" s="65">
        <v>11355.5</v>
      </c>
      <c r="M13" s="65">
        <v>11355.5</v>
      </c>
      <c r="N13" s="13">
        <v>11248</v>
      </c>
      <c r="O13" s="13">
        <v>8550</v>
      </c>
      <c r="P13" s="30" t="s">
        <v>4</v>
      </c>
      <c r="Q13" s="13">
        <v>11248</v>
      </c>
      <c r="R13" s="13">
        <v>8550</v>
      </c>
      <c r="S13" s="23">
        <v>9899</v>
      </c>
      <c r="T13" s="41"/>
      <c r="U13" s="13">
        <v>9899</v>
      </c>
      <c r="V13" s="13">
        <v>9899</v>
      </c>
      <c r="W13" s="24">
        <v>9899</v>
      </c>
      <c r="X13" s="58" t="str">
        <f>HYPERLINK("http://drinc.ca.gov/DNN/Portals/0/SelfCert/754e2bcc-0c40-4fca-ae99-4aeb3de7aa38.xlsx","WS1")</f>
        <v>WS1</v>
      </c>
      <c r="Y13" s="10" t="s">
        <v>569</v>
      </c>
      <c r="Z13" s="26" t="s">
        <v>13</v>
      </c>
      <c r="AA13" s="13">
        <v>0</v>
      </c>
      <c r="AB13" s="15">
        <v>0</v>
      </c>
      <c r="AC13" s="30" t="s">
        <v>18</v>
      </c>
      <c r="AD13" s="29" t="s">
        <v>570</v>
      </c>
      <c r="AE13" s="32"/>
      <c r="AF13" s="32"/>
      <c r="AG13" s="17"/>
      <c r="AH13" s="27"/>
      <c r="AI13" s="27"/>
      <c r="AJ13" s="11"/>
      <c r="AK13" s="58" t="str">
        <f>HYPERLINK("http://drinc.ca.gov/DNN/Portals/0/SelfCert/c711890c-b9e5-4792-b45b-f208d4819e60.pdf","Cert")</f>
        <v>Cert</v>
      </c>
      <c r="AL13" s="58" t="str">
        <f>HYPERLINK("http://drinc.ca.gov/DNN/Portals/0/SelfCert/3f350d6a-6213-4a2a-8682-22b66893c49a.docx","Analysis")</f>
        <v>Analysis</v>
      </c>
    </row>
    <row r="14" spans="1:38" s="19" customFormat="1" ht="14.4" customHeight="1" x14ac:dyDescent="0.3">
      <c r="A14" s="12" t="s">
        <v>512</v>
      </c>
      <c r="B14" s="68" t="s">
        <v>16</v>
      </c>
      <c r="C14" s="73">
        <v>4029133.0833333335</v>
      </c>
      <c r="D14" s="14">
        <v>550023.5</v>
      </c>
      <c r="E14" s="14">
        <v>550023.5</v>
      </c>
      <c r="F14" s="18">
        <v>0</v>
      </c>
      <c r="G14" s="68" t="s">
        <v>776</v>
      </c>
      <c r="H14" s="64">
        <v>0.16</v>
      </c>
      <c r="I14" s="64">
        <v>0.14000000000000001</v>
      </c>
      <c r="J14" s="64">
        <v>0.16</v>
      </c>
      <c r="K14" s="71">
        <v>0.13604878935358145</v>
      </c>
      <c r="L14" s="65">
        <v>561675</v>
      </c>
      <c r="M14" s="65">
        <v>561675</v>
      </c>
      <c r="N14" s="13">
        <v>561675</v>
      </c>
      <c r="O14" s="13">
        <v>538372</v>
      </c>
      <c r="P14" s="30" t="s">
        <v>4</v>
      </c>
      <c r="Q14" s="13">
        <v>561675</v>
      </c>
      <c r="R14" s="13">
        <v>538372</v>
      </c>
      <c r="S14" s="23">
        <v>550023.5</v>
      </c>
      <c r="T14" s="41" t="s">
        <v>513</v>
      </c>
      <c r="U14" s="13">
        <v>550023.5</v>
      </c>
      <c r="V14" s="13">
        <v>550023.5</v>
      </c>
      <c r="W14" s="24">
        <v>550023.5</v>
      </c>
      <c r="X14" s="58" t="str">
        <f>HYPERLINK("http://drinc.ca.gov/DNN/Portals/0/SelfCert/f2bf7d24-af0e-4a40-b795-fbcc6df21d01.xlsx","WS1")</f>
        <v>WS1</v>
      </c>
      <c r="Y14" s="10" t="s">
        <v>751</v>
      </c>
      <c r="Z14" s="26" t="s">
        <v>13</v>
      </c>
      <c r="AA14" s="13">
        <v>0</v>
      </c>
      <c r="AB14" s="15">
        <v>0</v>
      </c>
      <c r="AC14" s="30" t="s">
        <v>18</v>
      </c>
      <c r="AD14" s="29" t="s">
        <v>752</v>
      </c>
      <c r="AE14" s="32"/>
      <c r="AF14" s="32"/>
      <c r="AG14" s="17"/>
      <c r="AH14" s="27"/>
      <c r="AI14" s="27"/>
      <c r="AJ14" s="11"/>
      <c r="AK14" s="58" t="str">
        <f>HYPERLINK("http://drinc.ca.gov/DNN/Portals/0/SelfCert/f047eb94-f30a-4a50-8534-6e643147bf15.pdf","Cert")</f>
        <v>Cert</v>
      </c>
      <c r="AL14" s="58" t="str">
        <f>HYPERLINK("http://drinc.ca.gov/DNN/Portals/0/SelfCert/64f2c539-03c4-4cc6-8b7d-8064185138da.xlsx","Analysis")</f>
        <v>Analysis</v>
      </c>
    </row>
    <row r="15" spans="1:38" s="19" customFormat="1" ht="14.4" customHeight="1" x14ac:dyDescent="0.3">
      <c r="A15" s="12" t="s">
        <v>601</v>
      </c>
      <c r="B15" s="68" t="s">
        <v>16</v>
      </c>
      <c r="C15" s="73">
        <v>35566.333333333336</v>
      </c>
      <c r="D15" s="14">
        <v>9517.2999999999993</v>
      </c>
      <c r="E15" s="14">
        <v>11280</v>
      </c>
      <c r="F15" s="18">
        <v>0</v>
      </c>
      <c r="G15" s="68" t="s">
        <v>776</v>
      </c>
      <c r="H15" s="64">
        <v>0.32</v>
      </c>
      <c r="I15" s="64">
        <v>0.24</v>
      </c>
      <c r="J15" s="64">
        <v>0.26</v>
      </c>
      <c r="K15" s="71">
        <v>0.12156249999999991</v>
      </c>
      <c r="L15" s="65">
        <v>9825</v>
      </c>
      <c r="M15" s="65">
        <v>8635</v>
      </c>
      <c r="N15" s="13">
        <v>9789.2000000000007</v>
      </c>
      <c r="O15" s="13">
        <v>9245.5</v>
      </c>
      <c r="P15" s="30" t="s">
        <v>4</v>
      </c>
      <c r="Q15" s="13">
        <v>9789.2000000000007</v>
      </c>
      <c r="R15" s="13">
        <v>9245.5</v>
      </c>
      <c r="S15" s="23">
        <v>9517.2999999999993</v>
      </c>
      <c r="T15" s="41"/>
      <c r="U15" s="13">
        <v>11280</v>
      </c>
      <c r="V15" s="13">
        <v>11280</v>
      </c>
      <c r="W15" s="24">
        <v>11280</v>
      </c>
      <c r="X15" s="58" t="str">
        <f>HYPERLINK("http://drinc.ca.gov/DNN/Portals/0/SelfCert/f256ef73-4760-4f8e-a9b8-36338f0b5765.xlsx","WS1")</f>
        <v>WS1</v>
      </c>
      <c r="Y15" s="10"/>
      <c r="Z15" s="26" t="s">
        <v>13</v>
      </c>
      <c r="AA15" s="13">
        <v>-1762.7</v>
      </c>
      <c r="AB15" s="66">
        <v>0</v>
      </c>
      <c r="AC15" s="30" t="s">
        <v>18</v>
      </c>
      <c r="AD15" s="29" t="s">
        <v>602</v>
      </c>
      <c r="AE15" s="32"/>
      <c r="AF15" s="32"/>
      <c r="AG15" s="17"/>
      <c r="AH15" s="27"/>
      <c r="AI15" s="27"/>
      <c r="AJ15" s="11"/>
      <c r="AK15" s="58" t="str">
        <f>HYPERLINK("http://drinc.ca.gov/DNN/Portals/0/SelfCert/8967553a-7bfd-41a4-b16b-89e70c17e82c.pdf","Cert")</f>
        <v>Cert</v>
      </c>
      <c r="AL15" s="58" t="str">
        <f>HYPERLINK("http://drinc.ca.gov/DNN/Portals/0/SelfCert/596574f2-da34-4d70-b179-da21e53237f2.docx","Analysis")</f>
        <v>Analysis</v>
      </c>
    </row>
    <row r="16" spans="1:38" s="19" customFormat="1" ht="14.4" customHeight="1" x14ac:dyDescent="0.3">
      <c r="A16" s="12" t="s">
        <v>228</v>
      </c>
      <c r="B16" s="68" t="s">
        <v>50</v>
      </c>
      <c r="C16" s="73">
        <v>118500</v>
      </c>
      <c r="D16" s="14">
        <v>34633</v>
      </c>
      <c r="E16" s="14">
        <v>43268</v>
      </c>
      <c r="F16" s="18">
        <v>0</v>
      </c>
      <c r="G16" s="68" t="s">
        <v>776</v>
      </c>
      <c r="H16" s="64">
        <v>0.28000000000000003</v>
      </c>
      <c r="I16" s="64">
        <v>0.24</v>
      </c>
      <c r="J16" s="64">
        <v>0.32</v>
      </c>
      <c r="K16" s="71">
        <v>0.14101765316718595</v>
      </c>
      <c r="L16" s="65">
        <v>38944</v>
      </c>
      <c r="M16" s="65">
        <v>38944</v>
      </c>
      <c r="N16" s="13">
        <v>39482</v>
      </c>
      <c r="O16" s="13">
        <v>29784</v>
      </c>
      <c r="P16" s="30" t="s">
        <v>4</v>
      </c>
      <c r="Q16" s="13">
        <v>39482</v>
      </c>
      <c r="R16" s="13">
        <v>29784</v>
      </c>
      <c r="S16" s="23">
        <v>34633</v>
      </c>
      <c r="T16" s="41"/>
      <c r="U16" s="13">
        <v>54650</v>
      </c>
      <c r="V16" s="13">
        <v>46655</v>
      </c>
      <c r="W16" s="24">
        <v>43268</v>
      </c>
      <c r="X16" s="58" t="str">
        <f>HYPERLINK("http://drinc.ca.gov/DNN/Portals/0/SelfCert/1c6b8b8a-4c3c-4ac0-a93f-4a8c3ca2b0f2.xlsx","WS1")</f>
        <v>WS1</v>
      </c>
      <c r="Y16" s="10" t="s">
        <v>229</v>
      </c>
      <c r="Z16" s="26" t="s">
        <v>13</v>
      </c>
      <c r="AA16" s="13">
        <v>-8635</v>
      </c>
      <c r="AB16" s="66">
        <v>0</v>
      </c>
      <c r="AC16" s="30" t="s">
        <v>14</v>
      </c>
      <c r="AD16" s="29"/>
      <c r="AE16" s="32"/>
      <c r="AF16" s="32"/>
      <c r="AG16" s="17"/>
      <c r="AH16" s="27"/>
      <c r="AI16" s="27"/>
      <c r="AJ16" s="11"/>
      <c r="AK16" s="58" t="str">
        <f>HYPERLINK("http://drinc.ca.gov/DNN/Portals/0/SelfCert/1af276c0-72f1-40c5-b51d-ae1316688ea3.pdf","Cert")</f>
        <v>Cert</v>
      </c>
      <c r="AL16" s="58" t="str">
        <f>HYPERLINK("http://drinc.ca.gov/DNN/Portals/0/SelfCert/f273a3b2-8c14-4224-a379-2a6aae2d0446.docx","Analysis")</f>
        <v>Analysis</v>
      </c>
    </row>
    <row r="17" spans="1:38" s="19" customFormat="1" ht="14.4" customHeight="1" x14ac:dyDescent="0.3">
      <c r="A17" s="12" t="s">
        <v>210</v>
      </c>
      <c r="B17" s="68" t="s">
        <v>23</v>
      </c>
      <c r="C17" s="73">
        <v>44311</v>
      </c>
      <c r="D17" s="14">
        <v>8096</v>
      </c>
      <c r="E17" s="14">
        <v>10817</v>
      </c>
      <c r="F17" s="18">
        <v>0</v>
      </c>
      <c r="G17" s="68" t="s">
        <v>776</v>
      </c>
      <c r="H17" s="64">
        <v>0.24</v>
      </c>
      <c r="I17" s="64">
        <v>0.2</v>
      </c>
      <c r="J17" s="64">
        <v>0.14000000000000001</v>
      </c>
      <c r="K17" s="71">
        <v>0.1813841089382503</v>
      </c>
      <c r="L17" s="65">
        <v>8214.5</v>
      </c>
      <c r="M17" s="65">
        <v>8214.5</v>
      </c>
      <c r="N17" s="13">
        <v>8201</v>
      </c>
      <c r="O17" s="13">
        <v>7991</v>
      </c>
      <c r="P17" s="30" t="s">
        <v>4</v>
      </c>
      <c r="Q17" s="13">
        <v>8201</v>
      </c>
      <c r="R17" s="13">
        <v>7991</v>
      </c>
      <c r="S17" s="23">
        <v>8096</v>
      </c>
      <c r="T17" s="41"/>
      <c r="U17" s="13">
        <v>10817</v>
      </c>
      <c r="V17" s="13">
        <v>10817</v>
      </c>
      <c r="W17" s="24">
        <v>10817</v>
      </c>
      <c r="X17" s="58" t="str">
        <f>HYPERLINK("https://drinc.ca.gov/DNN/Portals/0/SelfCert/de7c7c63-7458-4811-81ee-77130fca7e63.xlsx","WS1")</f>
        <v>WS1</v>
      </c>
      <c r="Y17" s="10" t="s">
        <v>211</v>
      </c>
      <c r="Z17" s="26" t="s">
        <v>13</v>
      </c>
      <c r="AA17" s="13">
        <v>-2721</v>
      </c>
      <c r="AB17" s="66">
        <v>0</v>
      </c>
      <c r="AC17" s="30" t="s">
        <v>14</v>
      </c>
      <c r="AD17" s="29" t="s">
        <v>212</v>
      </c>
      <c r="AE17" s="32"/>
      <c r="AF17" s="32"/>
      <c r="AG17" s="17"/>
      <c r="AH17" s="27"/>
      <c r="AI17" s="27"/>
      <c r="AJ17" s="11"/>
      <c r="AK17" s="58" t="str">
        <f>HYPERLINK("https://drinc.ca.gov/DNN/Portals/0/SelfCert/2e4396ed-2b04-4eef-ba0a-70cae88e28bd.pdf","Cert")</f>
        <v>Cert</v>
      </c>
      <c r="AL17" s="58" t="str">
        <f>HYPERLINK("https://drinc.ca.gov/DNN/Portals/0/SelfCert/75c04a6e-b4af-48c3-8e22-5639c20329be.xls","Analysis")</f>
        <v>Analysis</v>
      </c>
    </row>
    <row r="18" spans="1:38" s="19" customFormat="1" ht="14.4" customHeight="1" x14ac:dyDescent="0.3">
      <c r="A18" s="12" t="s">
        <v>41</v>
      </c>
      <c r="B18" s="68" t="s">
        <v>40</v>
      </c>
      <c r="C18" s="73">
        <v>70817</v>
      </c>
      <c r="D18" s="14">
        <v>10252.9</v>
      </c>
      <c r="E18" s="14">
        <v>10258.9</v>
      </c>
      <c r="F18" s="18">
        <v>0</v>
      </c>
      <c r="G18" s="68" t="s">
        <v>776</v>
      </c>
      <c r="H18" s="64">
        <v>0.12</v>
      </c>
      <c r="I18" s="64">
        <v>0.12</v>
      </c>
      <c r="J18" s="64">
        <v>0.23</v>
      </c>
      <c r="K18" s="71">
        <v>0.24177733535440371</v>
      </c>
      <c r="L18" s="65">
        <v>10133</v>
      </c>
      <c r="M18" s="65">
        <v>10133</v>
      </c>
      <c r="N18" s="13">
        <v>4685977</v>
      </c>
      <c r="O18" s="13">
        <v>4246314</v>
      </c>
      <c r="P18" s="30" t="s">
        <v>9</v>
      </c>
      <c r="Q18" s="13">
        <v>10757.6</v>
      </c>
      <c r="R18" s="13">
        <v>9748.2000000000007</v>
      </c>
      <c r="S18" s="23">
        <v>10252.9</v>
      </c>
      <c r="T18" s="41"/>
      <c r="U18" s="13">
        <v>10258.9</v>
      </c>
      <c r="V18" s="13">
        <v>10258.9</v>
      </c>
      <c r="W18" s="24">
        <v>10258.9</v>
      </c>
      <c r="X18" s="58" t="str">
        <f>HYPERLINK("http://drinc.ca.gov/DNN/Portals/0/SelfCert/f24dde38-a87a-4bfa-8865-966e2c842a02.xls","WS1")</f>
        <v>WS1</v>
      </c>
      <c r="Y18" s="10"/>
      <c r="Z18" s="26" t="s">
        <v>13</v>
      </c>
      <c r="AA18" s="13">
        <v>-6</v>
      </c>
      <c r="AB18" s="15">
        <v>0</v>
      </c>
      <c r="AC18" s="30" t="s">
        <v>18</v>
      </c>
      <c r="AD18" s="29" t="s">
        <v>42</v>
      </c>
      <c r="AE18" s="32"/>
      <c r="AF18" s="32"/>
      <c r="AG18" s="17"/>
      <c r="AH18" s="27"/>
      <c r="AI18" s="27"/>
      <c r="AJ18" s="11"/>
      <c r="AK18" s="58" t="str">
        <f>HYPERLINK("http://drinc.ca.gov/DNN/Portals/0/SelfCert/a9e7f33c-737d-471f-9721-d9e6f4bf5bb5.pdf","Cert")</f>
        <v>Cert</v>
      </c>
      <c r="AL18" s="58" t="str">
        <f>HYPERLINK("http://drinc.ca.gov/DNN/Portals/0/SelfCert/d522b92a-67d1-49e7-9121-b7b0a3313a6f.xls","Analysis")</f>
        <v>Analysis</v>
      </c>
    </row>
    <row r="19" spans="1:38" s="19" customFormat="1" ht="14.4" customHeight="1" x14ac:dyDescent="0.3">
      <c r="A19" s="12" t="s">
        <v>572</v>
      </c>
      <c r="B19" s="68" t="s">
        <v>58</v>
      </c>
      <c r="C19" s="73">
        <v>171498.25</v>
      </c>
      <c r="D19" s="14">
        <v>19932.5</v>
      </c>
      <c r="E19" s="14">
        <v>19933</v>
      </c>
      <c r="F19" s="18">
        <v>0</v>
      </c>
      <c r="G19" s="68" t="s">
        <v>776</v>
      </c>
      <c r="H19" s="64">
        <v>0.16</v>
      </c>
      <c r="I19" s="64">
        <v>0.16</v>
      </c>
      <c r="J19" s="64">
        <v>0.26</v>
      </c>
      <c r="K19" s="72">
        <v>-5.9012215447000749E-3</v>
      </c>
      <c r="L19" s="65">
        <v>21823.4</v>
      </c>
      <c r="M19" s="65">
        <v>21823.4</v>
      </c>
      <c r="N19" s="13">
        <v>21823</v>
      </c>
      <c r="O19" s="13">
        <v>18042</v>
      </c>
      <c r="P19" s="30" t="s">
        <v>4</v>
      </c>
      <c r="Q19" s="13">
        <v>21823</v>
      </c>
      <c r="R19" s="13">
        <v>18042</v>
      </c>
      <c r="S19" s="23">
        <v>19932.5</v>
      </c>
      <c r="T19" s="41"/>
      <c r="U19" s="13">
        <v>19933</v>
      </c>
      <c r="V19" s="13">
        <v>19933</v>
      </c>
      <c r="W19" s="24">
        <v>19933</v>
      </c>
      <c r="X19" s="58" t="str">
        <f>HYPERLINK("http://drinc.ca.gov/DNN/Portals/0/SelfCert/85dd8dec-1194-4960-8c26-dfea697aad03.xlsx","WS1")</f>
        <v>WS1</v>
      </c>
      <c r="Y19" s="10" t="s">
        <v>573</v>
      </c>
      <c r="Z19" s="26" t="s">
        <v>13</v>
      </c>
      <c r="AA19" s="13">
        <v>-0.5</v>
      </c>
      <c r="AB19" s="15">
        <v>0</v>
      </c>
      <c r="AC19" s="30" t="s">
        <v>14</v>
      </c>
      <c r="AD19" s="29"/>
      <c r="AE19" s="32"/>
      <c r="AF19" s="32"/>
      <c r="AG19" s="17"/>
      <c r="AH19" s="27"/>
      <c r="AI19" s="27"/>
      <c r="AJ19" s="11"/>
      <c r="AK19" s="58" t="str">
        <f>HYPERLINK("http://drinc.ca.gov/DNN/Portals/0/SelfCert/4af2234e-b673-456f-a4f5-ebaf6b9eea7b.pdf","Cert")</f>
        <v>Cert</v>
      </c>
      <c r="AL19" s="58" t="str">
        <f>HYPERLINK("http://drinc.ca.gov/DNN/Portals/0/SelfCert/0e052605-becb-48cf-8023-27a97e8bc579.docx","Analysis")</f>
        <v>Analysis</v>
      </c>
    </row>
    <row r="20" spans="1:38" s="19" customFormat="1" ht="14.4" customHeight="1" x14ac:dyDescent="0.3">
      <c r="A20" s="12" t="s">
        <v>130</v>
      </c>
      <c r="B20" s="68" t="s">
        <v>16</v>
      </c>
      <c r="C20" s="73">
        <v>93403</v>
      </c>
      <c r="D20" s="14">
        <v>12400</v>
      </c>
      <c r="E20" s="14">
        <v>12400</v>
      </c>
      <c r="F20" s="18">
        <v>0</v>
      </c>
      <c r="G20" s="68" t="s">
        <v>776</v>
      </c>
      <c r="H20" s="64">
        <v>0.2</v>
      </c>
      <c r="I20" s="64">
        <v>0.13</v>
      </c>
      <c r="J20" s="64">
        <v>0.18</v>
      </c>
      <c r="K20" s="71">
        <v>0.18157462622072418</v>
      </c>
      <c r="L20" s="65">
        <v>12535.2</v>
      </c>
      <c r="M20" s="65">
        <v>12535.2</v>
      </c>
      <c r="N20" s="13">
        <v>12535</v>
      </c>
      <c r="O20" s="13">
        <v>12265</v>
      </c>
      <c r="P20" s="30" t="s">
        <v>4</v>
      </c>
      <c r="Q20" s="13">
        <v>12535</v>
      </c>
      <c r="R20" s="13">
        <v>12265</v>
      </c>
      <c r="S20" s="23">
        <v>12400</v>
      </c>
      <c r="T20" s="41"/>
      <c r="U20" s="13">
        <v>12400</v>
      </c>
      <c r="V20" s="13">
        <v>12400</v>
      </c>
      <c r="W20" s="24">
        <v>12400</v>
      </c>
      <c r="X20" s="58" t="str">
        <f>HYPERLINK("http://drinc.ca.gov/DNN/Portals/0/SelfCert/caaeb9bd-ab74-487d-83c8-06ecff460b84.xlsx","WS1")</f>
        <v>WS1</v>
      </c>
      <c r="Y20" s="10"/>
      <c r="Z20" s="26" t="s">
        <v>13</v>
      </c>
      <c r="AA20" s="13">
        <v>0</v>
      </c>
      <c r="AB20" s="15">
        <v>0</v>
      </c>
      <c r="AC20" s="30" t="s">
        <v>18</v>
      </c>
      <c r="AD20" s="29" t="s">
        <v>131</v>
      </c>
      <c r="AE20" s="32"/>
      <c r="AF20" s="32"/>
      <c r="AG20" s="17"/>
      <c r="AH20" s="27"/>
      <c r="AI20" s="27"/>
      <c r="AJ20" s="11"/>
      <c r="AK20" s="58" t="str">
        <f>HYPERLINK("http://drinc.ca.gov/DNN/Portals/0/SelfCert/eae99a62-e110-457b-8e78-c97b239dce05.pdf","Cert")</f>
        <v>Cert</v>
      </c>
      <c r="AL20" s="58" t="str">
        <f>HYPERLINK("http://drinc.ca.gov/DNN/Portals/0/SelfCert/efc9cb83-3ac9-4391-8ae3-7aa932d3398c.xlsx","Analysis")</f>
        <v>Analysis</v>
      </c>
    </row>
    <row r="21" spans="1:38" s="19" customFormat="1" ht="14.4" customHeight="1" x14ac:dyDescent="0.3">
      <c r="A21" s="12" t="s">
        <v>188</v>
      </c>
      <c r="B21" s="68" t="s">
        <v>40</v>
      </c>
      <c r="C21" s="73">
        <v>26671.666666666668</v>
      </c>
      <c r="D21" s="14">
        <v>3188</v>
      </c>
      <c r="E21" s="14">
        <v>3188</v>
      </c>
      <c r="F21" s="18">
        <v>0</v>
      </c>
      <c r="G21" s="68" t="s">
        <v>776</v>
      </c>
      <c r="H21" s="64">
        <v>0.2</v>
      </c>
      <c r="I21" s="64">
        <v>0.2</v>
      </c>
      <c r="J21" s="64">
        <v>0.28000000000000003</v>
      </c>
      <c r="K21" s="71">
        <v>0.23614670614949473</v>
      </c>
      <c r="L21" s="65">
        <v>3407</v>
      </c>
      <c r="M21" s="65">
        <v>3407</v>
      </c>
      <c r="N21" s="13">
        <v>1113.7</v>
      </c>
      <c r="O21" s="13">
        <v>963.9</v>
      </c>
      <c r="P21" s="30" t="s">
        <v>5</v>
      </c>
      <c r="Q21" s="13">
        <v>3417.8</v>
      </c>
      <c r="R21" s="13">
        <v>2958.1</v>
      </c>
      <c r="S21" s="23">
        <v>3188</v>
      </c>
      <c r="T21" s="41"/>
      <c r="U21" s="13">
        <v>3187.96</v>
      </c>
      <c r="V21" s="13">
        <v>3188</v>
      </c>
      <c r="W21" s="24">
        <v>3188</v>
      </c>
      <c r="X21" s="58" t="str">
        <f>HYPERLINK("http://drinc.ca.gov/DNN/Portals/0/SelfCert/20905719-37b7-442d-a6bd-900238dacc92.xlsx","WS1")</f>
        <v>WS1</v>
      </c>
      <c r="Y21" s="10"/>
      <c r="Z21" s="26" t="s">
        <v>13</v>
      </c>
      <c r="AA21" s="13">
        <v>0</v>
      </c>
      <c r="AB21" s="15">
        <v>0</v>
      </c>
      <c r="AC21" s="30" t="s">
        <v>18</v>
      </c>
      <c r="AD21" s="29" t="s">
        <v>189</v>
      </c>
      <c r="AE21" s="32"/>
      <c r="AF21" s="32"/>
      <c r="AG21" s="17"/>
      <c r="AH21" s="27"/>
      <c r="AI21" s="27"/>
      <c r="AJ21" s="11"/>
      <c r="AK21" s="58" t="str">
        <f>HYPERLINK("http://drinc.ca.gov/DNN/Portals/0/SelfCert/4bde9a32-6252-4910-9475-462a0e69b464.pdf","Cert")</f>
        <v>Cert</v>
      </c>
      <c r="AL21" s="58" t="str">
        <f>HYPERLINK("http://drinc.ca.gov/DNN/Portals/0/SelfCert/19aaa18f-c887-4144-a664-13b954dc2c40.docx","Analysis")</f>
        <v>Analysis</v>
      </c>
    </row>
    <row r="22" spans="1:38" s="19" customFormat="1" ht="14.4" customHeight="1" x14ac:dyDescent="0.3">
      <c r="A22" s="12" t="s">
        <v>87</v>
      </c>
      <c r="B22" s="68" t="s">
        <v>16</v>
      </c>
      <c r="C22" s="73">
        <v>84351</v>
      </c>
      <c r="D22" s="14">
        <v>21392.5</v>
      </c>
      <c r="E22" s="14">
        <v>21393</v>
      </c>
      <c r="F22" s="18">
        <v>0</v>
      </c>
      <c r="G22" s="68" t="s">
        <v>830</v>
      </c>
      <c r="H22" s="64">
        <v>0.32</v>
      </c>
      <c r="I22" s="64">
        <v>0.24</v>
      </c>
      <c r="J22" s="64">
        <v>0.26</v>
      </c>
      <c r="K22" s="71">
        <v>0.25542958612211442</v>
      </c>
      <c r="L22" s="65">
        <v>20995.4</v>
      </c>
      <c r="M22" s="65">
        <v>20234.8</v>
      </c>
      <c r="N22" s="13">
        <v>20995</v>
      </c>
      <c r="O22" s="13">
        <v>21790</v>
      </c>
      <c r="P22" s="30" t="s">
        <v>4</v>
      </c>
      <c r="Q22" s="13">
        <v>20995</v>
      </c>
      <c r="R22" s="13">
        <v>21790</v>
      </c>
      <c r="S22" s="35">
        <v>21392.5</v>
      </c>
      <c r="T22" s="41" t="s">
        <v>88</v>
      </c>
      <c r="U22" s="13">
        <v>21393</v>
      </c>
      <c r="V22" s="13">
        <v>21393</v>
      </c>
      <c r="W22" s="24">
        <v>21393</v>
      </c>
      <c r="X22" s="58" t="str">
        <f>HYPERLINK("http://drinc.ca.gov/DNN/Portals/0/SelfCert/7e104d4f-4e09-44b2-a2dd-d80d4ebf31a0.xlsx","WS1")</f>
        <v>WS1</v>
      </c>
      <c r="Y22" s="10" t="s">
        <v>88</v>
      </c>
      <c r="Z22" s="26" t="s">
        <v>31</v>
      </c>
      <c r="AA22" s="32">
        <v>-0.5</v>
      </c>
      <c r="AB22" s="33">
        <v>0</v>
      </c>
      <c r="AC22" s="16"/>
      <c r="AD22" s="11"/>
      <c r="AE22" s="65"/>
      <c r="AF22" s="65"/>
      <c r="AG22" s="15">
        <v>0</v>
      </c>
      <c r="AH22" s="38" t="s">
        <v>777</v>
      </c>
      <c r="AI22" s="37" t="str">
        <f>HYPERLINK("http://drinc.ca.gov/DNN/Portals/0/SelfCert/dfd724de-f543-4896-8cc4-e778ead3f440.pdf","Legal")</f>
        <v>Legal</v>
      </c>
      <c r="AJ22" s="10"/>
      <c r="AK22" s="58" t="str">
        <f>HYPERLINK("http://drinc.ca.gov/DNN/Portals/0/SelfCert/42ac007e-2639-4e4e-923f-44c94b339a58.pdf","Cert")</f>
        <v>Cert</v>
      </c>
      <c r="AL22" s="58" t="str">
        <f>HYPERLINK("http://drinc.ca.gov/DNN/Portals/0/SelfCert/dd5c47cb-6c98-4b90-b758-3488809a75c3.docx","Analysis")</f>
        <v>Analysis</v>
      </c>
    </row>
    <row r="23" spans="1:38" s="19" customFormat="1" ht="14.4" customHeight="1" x14ac:dyDescent="0.3">
      <c r="A23" s="12" t="s">
        <v>268</v>
      </c>
      <c r="B23" s="68" t="s">
        <v>40</v>
      </c>
      <c r="C23" s="73">
        <v>107197.08333333333</v>
      </c>
      <c r="D23" s="14">
        <v>7326.4</v>
      </c>
      <c r="E23" s="14">
        <v>7033.7</v>
      </c>
      <c r="F23" s="18">
        <v>0.04</v>
      </c>
      <c r="G23" s="68" t="s">
        <v>776</v>
      </c>
      <c r="H23" s="64">
        <v>0.08</v>
      </c>
      <c r="I23" s="64">
        <v>0.08</v>
      </c>
      <c r="J23" s="64">
        <v>0.12</v>
      </c>
      <c r="K23" s="71">
        <v>1.1472723873895418E-3</v>
      </c>
      <c r="L23" s="65">
        <v>7703.6</v>
      </c>
      <c r="M23" s="65">
        <v>7703.6</v>
      </c>
      <c r="N23" s="13">
        <v>2510</v>
      </c>
      <c r="O23" s="13">
        <v>2264.6</v>
      </c>
      <c r="P23" s="30" t="s">
        <v>5</v>
      </c>
      <c r="Q23" s="13">
        <v>7703</v>
      </c>
      <c r="R23" s="13">
        <v>6949.8</v>
      </c>
      <c r="S23" s="23">
        <v>7326.4</v>
      </c>
      <c r="T23" s="41"/>
      <c r="U23" s="13">
        <v>7033.7</v>
      </c>
      <c r="V23" s="13">
        <v>7033.7</v>
      </c>
      <c r="W23" s="24">
        <v>7033.7</v>
      </c>
      <c r="X23" s="58" t="str">
        <f>HYPERLINK("http://drinc.ca.gov/DNN/Portals/0/SelfCert/2795fd88-f002-497e-a3b7-d1c9230043d8.xlsx","WS1")</f>
        <v>WS1</v>
      </c>
      <c r="Y23" s="10" t="s">
        <v>269</v>
      </c>
      <c r="Z23" s="26" t="s">
        <v>13</v>
      </c>
      <c r="AA23" s="13">
        <v>292.7</v>
      </c>
      <c r="AB23" s="15">
        <v>0.04</v>
      </c>
      <c r="AC23" s="30" t="s">
        <v>14</v>
      </c>
      <c r="AD23" s="29"/>
      <c r="AE23" s="32"/>
      <c r="AF23" s="32"/>
      <c r="AG23" s="17"/>
      <c r="AH23" s="27"/>
      <c r="AI23" s="36"/>
      <c r="AJ23" s="11"/>
      <c r="AK23" s="58" t="str">
        <f>HYPERLINK("http://drinc.ca.gov/DNN/Portals/0/SelfCert/867189bc-679d-4c96-8c62-0b7e5d0a99fd.pdf","Cert")</f>
        <v>Cert</v>
      </c>
      <c r="AL23" s="58" t="str">
        <f>HYPERLINK("http://drinc.ca.gov/DNN/Portals/0/SelfCert/a45ce744-dee8-4219-9435-17cdad4ace95.docx","Analysis")</f>
        <v>Analysis</v>
      </c>
    </row>
    <row r="24" spans="1:38" s="19" customFormat="1" ht="14.4" customHeight="1" x14ac:dyDescent="0.3">
      <c r="A24" s="12" t="s">
        <v>252</v>
      </c>
      <c r="B24" s="68" t="s">
        <v>46</v>
      </c>
      <c r="C24" s="73">
        <v>54793.416666666664</v>
      </c>
      <c r="D24" s="14">
        <v>9496.7000000000007</v>
      </c>
      <c r="E24" s="14">
        <v>21453</v>
      </c>
      <c r="F24" s="18">
        <v>0</v>
      </c>
      <c r="G24" s="68" t="s">
        <v>776</v>
      </c>
      <c r="H24" s="64">
        <v>0.24</v>
      </c>
      <c r="I24" s="64">
        <v>0.21</v>
      </c>
      <c r="J24" s="64">
        <v>0.2</v>
      </c>
      <c r="K24" s="71">
        <v>0.19989523549239319</v>
      </c>
      <c r="L24" s="65">
        <v>9729</v>
      </c>
      <c r="M24" s="65">
        <v>9729</v>
      </c>
      <c r="N24" s="13">
        <v>3169</v>
      </c>
      <c r="O24" s="13">
        <v>3020</v>
      </c>
      <c r="P24" s="30" t="s">
        <v>5</v>
      </c>
      <c r="Q24" s="13">
        <v>9725.2999999999993</v>
      </c>
      <c r="R24" s="13">
        <v>9268</v>
      </c>
      <c r="S24" s="23">
        <v>9496.7000000000007</v>
      </c>
      <c r="T24" s="41"/>
      <c r="U24" s="13">
        <v>21453</v>
      </c>
      <c r="V24" s="13">
        <v>21453</v>
      </c>
      <c r="W24" s="24">
        <v>21453</v>
      </c>
      <c r="X24" s="58" t="str">
        <f>HYPERLINK("http://drinc.ca.gov/DNN/Portals/0/SelfCert/0e1c5c4f-f00e-47a1-8315-141130630782.xlsx","WS1")</f>
        <v>WS1</v>
      </c>
      <c r="Y24" s="10" t="s">
        <v>253</v>
      </c>
      <c r="Z24" s="26" t="s">
        <v>13</v>
      </c>
      <c r="AA24" s="13">
        <v>-11956.3</v>
      </c>
      <c r="AB24" s="66">
        <v>0</v>
      </c>
      <c r="AC24" s="30" t="s">
        <v>18</v>
      </c>
      <c r="AD24" s="29" t="s">
        <v>254</v>
      </c>
      <c r="AE24" s="32"/>
      <c r="AF24" s="32"/>
      <c r="AG24" s="17"/>
      <c r="AH24" s="27"/>
      <c r="AI24" s="36"/>
      <c r="AJ24" s="11"/>
      <c r="AK24" s="58" t="str">
        <f>HYPERLINK("http://drinc.ca.gov/DNN/Portals/0/SelfCert/8e082124-aef3-4884-9725-9e28857e8f55.pdf","Cert")</f>
        <v>Cert</v>
      </c>
      <c r="AL24" s="58" t="str">
        <f>HYPERLINK("http://drinc.ca.gov/DNN/Portals/0/SelfCert/33879b09-950d-4ae2-a518-63705b0fb14b.xlsx","Analysis")</f>
        <v>Analysis</v>
      </c>
    </row>
    <row r="25" spans="1:38" s="19" customFormat="1" ht="14.4" customHeight="1" x14ac:dyDescent="0.3">
      <c r="A25" s="12" t="s">
        <v>591</v>
      </c>
      <c r="B25" s="68" t="s">
        <v>16</v>
      </c>
      <c r="C25" s="73">
        <v>360142</v>
      </c>
      <c r="D25" s="14">
        <v>66173</v>
      </c>
      <c r="E25" s="14">
        <v>66177</v>
      </c>
      <c r="F25" s="18">
        <v>0</v>
      </c>
      <c r="G25" s="68" t="s">
        <v>798</v>
      </c>
      <c r="H25" s="64">
        <v>0.2</v>
      </c>
      <c r="I25" s="64">
        <v>0.13</v>
      </c>
      <c r="J25" s="64">
        <v>0.21</v>
      </c>
      <c r="K25" s="71">
        <v>0.23549641148325351</v>
      </c>
      <c r="L25" s="65">
        <v>66481</v>
      </c>
      <c r="M25" s="65">
        <v>66481</v>
      </c>
      <c r="N25" s="13">
        <v>66540</v>
      </c>
      <c r="O25" s="13">
        <v>65806</v>
      </c>
      <c r="P25" s="30" t="s">
        <v>4</v>
      </c>
      <c r="Q25" s="13">
        <v>66540</v>
      </c>
      <c r="R25" s="13">
        <v>65806</v>
      </c>
      <c r="S25" s="23">
        <v>66173</v>
      </c>
      <c r="T25" s="41" t="s">
        <v>592</v>
      </c>
      <c r="U25" s="13">
        <v>66146</v>
      </c>
      <c r="V25" s="13">
        <v>66151</v>
      </c>
      <c r="W25" s="24">
        <v>66152</v>
      </c>
      <c r="X25" s="58" t="str">
        <f>HYPERLINK("https://drinc.ca.gov/DNN/Portals/0/SelfCert/356a7cd7-66ae-4cc3-b23f-9d960a592a8a.xlsx","WS1")</f>
        <v>WS1</v>
      </c>
      <c r="Y25" s="10"/>
      <c r="Z25" s="26" t="s">
        <v>13</v>
      </c>
      <c r="AA25" s="13">
        <v>21</v>
      </c>
      <c r="AB25" s="15">
        <v>0</v>
      </c>
      <c r="AC25" s="30" t="s">
        <v>18</v>
      </c>
      <c r="AD25" s="29"/>
      <c r="AE25" s="32"/>
      <c r="AF25" s="32"/>
      <c r="AG25" s="17"/>
      <c r="AH25" s="27"/>
      <c r="AI25" s="36"/>
      <c r="AJ25" s="11"/>
      <c r="AK25" s="58" t="str">
        <f>HYPERLINK("https://drinc.ca.gov/DNN/Portals/0/SelfCert/69afba07-0619-4028-8215-c08a5830307b.pdf","Cert")</f>
        <v>Cert</v>
      </c>
      <c r="AL25" s="58" t="str">
        <f>HYPERLINK("https://drinc.ca.gov/DNN/Portals/0/SelfCert/a24e6927-5888-43bb-abeb-e06725f5c3df.xlsx","Analysis")</f>
        <v>Analysis</v>
      </c>
    </row>
    <row r="26" spans="1:38" s="19" customFormat="1" ht="14.4" customHeight="1" x14ac:dyDescent="0.3">
      <c r="A26" s="12" t="s">
        <v>584</v>
      </c>
      <c r="B26" s="68" t="s">
        <v>16</v>
      </c>
      <c r="C26" s="73">
        <v>148486.91666666666</v>
      </c>
      <c r="D26" s="14">
        <v>25659.5</v>
      </c>
      <c r="E26" s="14">
        <v>25675</v>
      </c>
      <c r="F26" s="18">
        <v>0</v>
      </c>
      <c r="G26" s="68" t="s">
        <v>776</v>
      </c>
      <c r="H26" s="64">
        <v>0.28000000000000003</v>
      </c>
      <c r="I26" s="64">
        <v>0.27</v>
      </c>
      <c r="J26" s="64">
        <v>0.21</v>
      </c>
      <c r="K26" s="72">
        <v>-1.2648088030692728E-2</v>
      </c>
      <c r="L26" s="65">
        <v>25726.3</v>
      </c>
      <c r="M26" s="65">
        <v>25726.3</v>
      </c>
      <c r="N26" s="13">
        <v>25642</v>
      </c>
      <c r="O26" s="13">
        <v>25677</v>
      </c>
      <c r="P26" s="30" t="s">
        <v>4</v>
      </c>
      <c r="Q26" s="13">
        <v>25642</v>
      </c>
      <c r="R26" s="13">
        <v>25677</v>
      </c>
      <c r="S26" s="23">
        <v>25659.5</v>
      </c>
      <c r="T26" s="41"/>
      <c r="U26" s="13">
        <v>25675</v>
      </c>
      <c r="V26" s="13">
        <v>25675</v>
      </c>
      <c r="W26" s="24">
        <v>25675</v>
      </c>
      <c r="X26" s="58" t="str">
        <f>HYPERLINK("https://drinc.ca.gov/DNN/Portals/0/SelfCert/3cda21d9-6b95-4b1c-973b-ad19b054a402.xlsx","WS1")</f>
        <v>WS1</v>
      </c>
      <c r="Y26" s="10" t="s">
        <v>585</v>
      </c>
      <c r="Z26" s="26" t="s">
        <v>13</v>
      </c>
      <c r="AA26" s="13">
        <v>-15.5</v>
      </c>
      <c r="AB26" s="15">
        <v>0</v>
      </c>
      <c r="AC26" s="30" t="s">
        <v>14</v>
      </c>
      <c r="AD26" s="29"/>
      <c r="AE26" s="32"/>
      <c r="AF26" s="32"/>
      <c r="AG26" s="17"/>
      <c r="AH26" s="27"/>
      <c r="AI26" s="36"/>
      <c r="AJ26" s="11"/>
      <c r="AK26" s="58" t="str">
        <f>HYPERLINK("https://drinc.ca.gov/DNN/Portals/0/SelfCert/eae0f42d-e637-461a-bd17-d36a7d8a514b.pdf","Cert")</f>
        <v>Cert</v>
      </c>
      <c r="AL26" s="58" t="str">
        <f>HYPERLINK("https://drinc.ca.gov/DNN/Portals/0/SelfCert/7764383a-414a-4254-af2e-7edeaf18561e.docx","Analysis")</f>
        <v>Analysis</v>
      </c>
    </row>
    <row r="27" spans="1:38" s="19" customFormat="1" ht="14.4" customHeight="1" x14ac:dyDescent="0.3">
      <c r="A27" s="12" t="s">
        <v>275</v>
      </c>
      <c r="B27" s="68" t="s">
        <v>23</v>
      </c>
      <c r="C27" s="73">
        <v>318217</v>
      </c>
      <c r="D27" s="14">
        <v>113384</v>
      </c>
      <c r="E27" s="14">
        <v>348190</v>
      </c>
      <c r="F27" s="18">
        <v>0</v>
      </c>
      <c r="G27" s="68" t="s">
        <v>776</v>
      </c>
      <c r="H27" s="64">
        <v>0.36</v>
      </c>
      <c r="I27" s="64">
        <v>0.32</v>
      </c>
      <c r="J27" s="64">
        <v>0.26</v>
      </c>
      <c r="K27" s="71">
        <v>0.23344760368353834</v>
      </c>
      <c r="L27" s="65">
        <v>114859.2</v>
      </c>
      <c r="M27" s="65">
        <v>114859.2</v>
      </c>
      <c r="N27" s="13">
        <v>114859</v>
      </c>
      <c r="O27" s="13">
        <v>111909</v>
      </c>
      <c r="P27" s="30" t="s">
        <v>4</v>
      </c>
      <c r="Q27" s="13">
        <v>114859</v>
      </c>
      <c r="R27" s="13">
        <v>111909</v>
      </c>
      <c r="S27" s="23">
        <v>113384</v>
      </c>
      <c r="T27" s="41"/>
      <c r="U27" s="65">
        <v>351970</v>
      </c>
      <c r="V27" s="65">
        <v>340937</v>
      </c>
      <c r="W27" s="51">
        <v>348190</v>
      </c>
      <c r="X27" s="56" t="str">
        <f>HYPERLINK("http://drinc.ca.gov/DNN/Portals/0/SelfCert/a2bd8494-817a-4c14-a662-36e7d91d030a.xlsx","WS1")</f>
        <v>WS1</v>
      </c>
      <c r="Y27" s="10"/>
      <c r="Z27" s="26" t="s">
        <v>13</v>
      </c>
      <c r="AA27" s="13">
        <v>-234806</v>
      </c>
      <c r="AB27" s="66">
        <v>0</v>
      </c>
      <c r="AC27" s="30" t="s">
        <v>18</v>
      </c>
      <c r="AD27" s="29" t="s">
        <v>276</v>
      </c>
      <c r="AE27" s="32"/>
      <c r="AF27" s="32"/>
      <c r="AG27" s="17"/>
      <c r="AH27" s="27"/>
      <c r="AI27" s="36"/>
      <c r="AJ27" s="11"/>
      <c r="AK27" s="58" t="str">
        <f>HYPERLINK("http://drinc.ca.gov/DNN/Portals/0/SelfCert/ed683bc1-5fe4-4714-8d57-42955555a841.pdf","Cert")</f>
        <v>Cert</v>
      </c>
      <c r="AL27" s="56" t="str">
        <f>HYPERLINK("http://drinc.ca.gov/DNN/Portals/0/SelfCert/0686f796-406f-4c9c-bf20-c1c3755d7559.pdf","Analysis")</f>
        <v>Analysis</v>
      </c>
    </row>
    <row r="28" spans="1:38" s="19" customFormat="1" ht="14.4" customHeight="1" x14ac:dyDescent="0.3">
      <c r="A28" s="12" t="s">
        <v>514</v>
      </c>
      <c r="B28" s="68" t="s">
        <v>16</v>
      </c>
      <c r="C28" s="73">
        <v>52914</v>
      </c>
      <c r="D28" s="14">
        <v>11215</v>
      </c>
      <c r="E28" s="14">
        <v>9559</v>
      </c>
      <c r="F28" s="18">
        <v>0.15</v>
      </c>
      <c r="G28" s="68" t="s">
        <v>776</v>
      </c>
      <c r="H28" s="64">
        <v>0.28000000000000003</v>
      </c>
      <c r="I28" s="64">
        <v>0.26</v>
      </c>
      <c r="J28" s="64">
        <v>0.37</v>
      </c>
      <c r="K28" s="71">
        <v>0.30517387616624259</v>
      </c>
      <c r="L28" s="65">
        <v>11764.8</v>
      </c>
      <c r="M28" s="65">
        <v>11764.8</v>
      </c>
      <c r="N28" s="13">
        <v>11765</v>
      </c>
      <c r="O28" s="13">
        <v>10665</v>
      </c>
      <c r="P28" s="30" t="s">
        <v>4</v>
      </c>
      <c r="Q28" s="13">
        <v>11765</v>
      </c>
      <c r="R28" s="13">
        <v>10665</v>
      </c>
      <c r="S28" s="23">
        <v>11215</v>
      </c>
      <c r="T28" s="41"/>
      <c r="U28" s="13">
        <v>12445</v>
      </c>
      <c r="V28" s="13">
        <v>14864</v>
      </c>
      <c r="W28" s="24">
        <v>9559</v>
      </c>
      <c r="X28" s="58" t="str">
        <f>HYPERLINK("http://drinc.ca.gov/DNN/Portals/0/SelfCert/b5143182-34b6-4b40-9b22-cf2d8fa2c858.xlsx","WS1")</f>
        <v>WS1</v>
      </c>
      <c r="Y28" s="10" t="s">
        <v>515</v>
      </c>
      <c r="Z28" s="26" t="s">
        <v>13</v>
      </c>
      <c r="AA28" s="13">
        <v>1656</v>
      </c>
      <c r="AB28" s="15">
        <v>0.15</v>
      </c>
      <c r="AC28" s="30" t="s">
        <v>14</v>
      </c>
      <c r="AD28" s="29"/>
      <c r="AE28" s="32"/>
      <c r="AF28" s="32"/>
      <c r="AG28" s="17"/>
      <c r="AH28" s="27"/>
      <c r="AI28" s="36"/>
      <c r="AJ28" s="11"/>
      <c r="AK28" s="58" t="str">
        <f>HYPERLINK("http://drinc.ca.gov/DNN/Portals/0/SelfCert/fcd6af87-798e-4525-9485-3b2973d65e2c.pdf","Cert")</f>
        <v>Cert</v>
      </c>
      <c r="AL28" s="58" t="str">
        <f>HYPERLINK("http://drinc.ca.gov/DNN/Portals/0/SelfCert/aad923e6-5596-43f7-a340-543c89277673.xlsx","Analysis")</f>
        <v>Analysis</v>
      </c>
    </row>
    <row r="29" spans="1:38" s="19" customFormat="1" ht="14.4" customHeight="1" x14ac:dyDescent="0.3">
      <c r="A29" s="12" t="s">
        <v>395</v>
      </c>
      <c r="B29" s="68" t="s">
        <v>50</v>
      </c>
      <c r="C29" s="73">
        <v>38354</v>
      </c>
      <c r="D29" s="14">
        <v>9379.5</v>
      </c>
      <c r="E29" s="14">
        <v>17527</v>
      </c>
      <c r="F29" s="18">
        <v>0</v>
      </c>
      <c r="G29" s="68" t="s">
        <v>776</v>
      </c>
      <c r="H29" s="64">
        <v>0.36</v>
      </c>
      <c r="I29" s="64">
        <v>0.33</v>
      </c>
      <c r="J29" s="64">
        <v>0.35</v>
      </c>
      <c r="K29" s="71">
        <v>0.25011533325239776</v>
      </c>
      <c r="L29" s="65">
        <v>10400.299999999999</v>
      </c>
      <c r="M29" s="65">
        <v>10400.299999999999</v>
      </c>
      <c r="N29" s="13">
        <v>10400</v>
      </c>
      <c r="O29" s="13">
        <v>8359</v>
      </c>
      <c r="P29" s="30" t="s">
        <v>4</v>
      </c>
      <c r="Q29" s="13">
        <v>10400</v>
      </c>
      <c r="R29" s="13">
        <v>8359</v>
      </c>
      <c r="S29" s="23">
        <v>9379.5</v>
      </c>
      <c r="T29" s="41"/>
      <c r="U29" s="13">
        <v>26208</v>
      </c>
      <c r="V29" s="13">
        <v>17527</v>
      </c>
      <c r="W29" s="24">
        <v>17527</v>
      </c>
      <c r="X29" s="58" t="str">
        <f>HYPERLINK("http://drinc.ca.gov/DNN/Portals/0/SelfCert/4eb1fbc2-44f8-4b3e-b37d-786de1a73b92.xlsx","WS1")</f>
        <v>WS1</v>
      </c>
      <c r="Y29" s="10"/>
      <c r="Z29" s="26" t="s">
        <v>13</v>
      </c>
      <c r="AA29" s="13">
        <v>-8147.5</v>
      </c>
      <c r="AB29" s="66">
        <v>0</v>
      </c>
      <c r="AC29" s="30" t="s">
        <v>14</v>
      </c>
      <c r="AD29" s="29"/>
      <c r="AE29" s="32"/>
      <c r="AF29" s="32"/>
      <c r="AG29" s="17"/>
      <c r="AH29" s="27"/>
      <c r="AI29" s="36"/>
      <c r="AJ29" s="11"/>
      <c r="AK29" s="58" t="str">
        <f>HYPERLINK("http://drinc.ca.gov/DNN/Portals/0/SelfCert/1f139310-bc50-4842-9df0-04c767583821.pdf","Cert")</f>
        <v>Cert</v>
      </c>
      <c r="AL29" s="58" t="str">
        <f>HYPERLINK("http://drinc.ca.gov/DNN/Portals/0/SelfCert/c95772f5-cba0-43d3-8a0b-2874889f55cf.docx","Analysis")</f>
        <v>Analysis</v>
      </c>
    </row>
    <row r="30" spans="1:38" s="19" customFormat="1" ht="14.4" customHeight="1" x14ac:dyDescent="0.3">
      <c r="A30" s="12" t="s">
        <v>519</v>
      </c>
      <c r="B30" s="68" t="s">
        <v>16</v>
      </c>
      <c r="C30" s="73">
        <v>55962.75</v>
      </c>
      <c r="D30" s="14">
        <v>10143.200000000001</v>
      </c>
      <c r="E30" s="14">
        <v>14236</v>
      </c>
      <c r="F30" s="18">
        <v>0</v>
      </c>
      <c r="G30" s="68" t="s">
        <v>829</v>
      </c>
      <c r="H30" s="64">
        <v>0.24</v>
      </c>
      <c r="I30" s="64">
        <v>0.22</v>
      </c>
      <c r="J30" s="64">
        <v>0.23</v>
      </c>
      <c r="K30" s="71">
        <v>0.20436712052445793</v>
      </c>
      <c r="L30" s="65">
        <v>10063.1</v>
      </c>
      <c r="M30" s="65">
        <v>10063.1</v>
      </c>
      <c r="N30" s="13">
        <v>9982.6</v>
      </c>
      <c r="O30" s="13">
        <v>10303.700000000001</v>
      </c>
      <c r="P30" s="30" t="s">
        <v>4</v>
      </c>
      <c r="Q30" s="13">
        <v>9982.6</v>
      </c>
      <c r="R30" s="13">
        <v>10303.700000000001</v>
      </c>
      <c r="S30" s="35">
        <v>10143.200000000001</v>
      </c>
      <c r="T30" s="41"/>
      <c r="U30" s="13">
        <v>14421</v>
      </c>
      <c r="V30" s="13">
        <v>13022</v>
      </c>
      <c r="W30" s="24">
        <v>14236</v>
      </c>
      <c r="X30" s="58" t="str">
        <f>HYPERLINK("http://drinc.ca.gov/DNN/Portals/0/SelfCert/d542bb9f-c639-4266-ba2e-471b240c7142.xlsx","WS1")</f>
        <v>WS1</v>
      </c>
      <c r="Y30" s="10"/>
      <c r="Z30" s="26" t="s">
        <v>31</v>
      </c>
      <c r="AA30" s="32">
        <v>-4092.9</v>
      </c>
      <c r="AB30" s="33">
        <v>0</v>
      </c>
      <c r="AC30" s="16"/>
      <c r="AD30" s="11"/>
      <c r="AE30" s="65">
        <v>98870</v>
      </c>
      <c r="AF30" s="65">
        <v>130488</v>
      </c>
      <c r="AG30" s="15">
        <v>0</v>
      </c>
      <c r="AH30" s="37" t="str">
        <f>HYPERLINK("http://drinc.ca.gov/DNN/Portals/0/SelfCert/757d5680-6bf2-47fe-98ab-d1fdeed88819.xlsx","WS2")</f>
        <v>WS2</v>
      </c>
      <c r="AI30" s="37" t="str">
        <f>HYPERLINK("http://drinc.ca.gov/DNN/Portals/0/SelfCert/41384260-d80a-446f-95cc-68fa2e4072a7.pdf","Legal")</f>
        <v>Legal</v>
      </c>
      <c r="AJ30" s="10"/>
      <c r="AK30" s="58" t="str">
        <f>HYPERLINK("http://drinc.ca.gov/DNN/Portals/0/SelfCert/ad20c6f9-9151-47e7-8d2e-6b55f10a25e5.pdf","Cert")</f>
        <v>Cert</v>
      </c>
      <c r="AL30" s="58" t="str">
        <f>HYPERLINK("http://drinc.ca.gov/DNN/Portals/0/SelfCert/bf8c790e-0d27-471a-b4c8-3a4a89ab91c8.docx","Analysis")</f>
        <v>Analysis</v>
      </c>
    </row>
    <row r="31" spans="1:38" s="19" customFormat="1" ht="14.4" customHeight="1" x14ac:dyDescent="0.3">
      <c r="A31" s="12" t="s">
        <v>237</v>
      </c>
      <c r="B31" s="68" t="s">
        <v>40</v>
      </c>
      <c r="C31" s="73">
        <v>73512.75</v>
      </c>
      <c r="D31" s="14">
        <v>15668</v>
      </c>
      <c r="E31" s="14">
        <v>15607</v>
      </c>
      <c r="F31" s="18">
        <v>0</v>
      </c>
      <c r="G31" s="68" t="s">
        <v>776</v>
      </c>
      <c r="H31" s="64">
        <v>0.24</v>
      </c>
      <c r="I31" s="64">
        <v>0.24</v>
      </c>
      <c r="J31" s="64">
        <v>0.41</v>
      </c>
      <c r="K31" s="71">
        <v>0.33042333314354044</v>
      </c>
      <c r="L31" s="65">
        <v>18151.599999999999</v>
      </c>
      <c r="M31" s="65">
        <v>18151.599999999999</v>
      </c>
      <c r="N31" s="13">
        <v>5932.2</v>
      </c>
      <c r="O31" s="13">
        <v>4278.7</v>
      </c>
      <c r="P31" s="30" t="s">
        <v>5</v>
      </c>
      <c r="Q31" s="13">
        <v>18205.099999999999</v>
      </c>
      <c r="R31" s="13">
        <v>13130.8</v>
      </c>
      <c r="S31" s="23">
        <v>15668</v>
      </c>
      <c r="T31" s="41"/>
      <c r="U31" s="13">
        <v>15607</v>
      </c>
      <c r="V31" s="13">
        <v>15607</v>
      </c>
      <c r="W31" s="24">
        <v>15607</v>
      </c>
      <c r="X31" s="58" t="str">
        <f>HYPERLINK("http://drinc.ca.gov/DNN/Portals/0/SelfCert/d4b5cff1-c513-4c5f-a3e5-ad4346f11555.xlsx","WS1")</f>
        <v>WS1</v>
      </c>
      <c r="Y31" s="10"/>
      <c r="Z31" s="26" t="s">
        <v>13</v>
      </c>
      <c r="AA31" s="13">
        <v>61</v>
      </c>
      <c r="AB31" s="15">
        <v>0</v>
      </c>
      <c r="AC31" s="30"/>
      <c r="AD31" s="29" t="s">
        <v>238</v>
      </c>
      <c r="AE31" s="32"/>
      <c r="AF31" s="32"/>
      <c r="AG31" s="17"/>
      <c r="AH31" s="27"/>
      <c r="AI31" s="36"/>
      <c r="AJ31" s="11"/>
      <c r="AK31" s="58" t="str">
        <f>HYPERLINK("http://drinc.ca.gov/DNN/Portals/0/SelfCert/a0f7bfc6-cd0c-4a9b-bc33-1d83610dcd8b.pdf","Cert")</f>
        <v>Cert</v>
      </c>
      <c r="AL31" s="58" t="str">
        <f>HYPERLINK("http://drinc.ca.gov/DNN/Portals/0/SelfCert/c75ed833-0b3e-4825-b04f-dbf3c98000e4.xlsx","Analysis")</f>
        <v>Analysis</v>
      </c>
    </row>
    <row r="32" spans="1:38" s="19" customFormat="1" ht="14.4" customHeight="1" x14ac:dyDescent="0.3">
      <c r="A32" s="12" t="s">
        <v>298</v>
      </c>
      <c r="B32" s="68" t="s">
        <v>16</v>
      </c>
      <c r="C32" s="73">
        <v>93251</v>
      </c>
      <c r="D32" s="14">
        <v>14032.5</v>
      </c>
      <c r="E32" s="14">
        <v>14033</v>
      </c>
      <c r="F32" s="18">
        <v>0</v>
      </c>
      <c r="G32" s="68" t="s">
        <v>776</v>
      </c>
      <c r="H32" s="64">
        <v>0.2</v>
      </c>
      <c r="I32" s="64">
        <v>0.2</v>
      </c>
      <c r="J32" s="64">
        <v>0.2</v>
      </c>
      <c r="K32" s="71">
        <v>0.17252318204001948</v>
      </c>
      <c r="L32" s="65">
        <v>14026.9</v>
      </c>
      <c r="M32" s="65">
        <v>14026.9</v>
      </c>
      <c r="N32" s="13">
        <v>14078</v>
      </c>
      <c r="O32" s="13">
        <v>13987</v>
      </c>
      <c r="P32" s="30" t="s">
        <v>4</v>
      </c>
      <c r="Q32" s="13">
        <v>14078</v>
      </c>
      <c r="R32" s="13">
        <v>13987</v>
      </c>
      <c r="S32" s="23">
        <v>14032.5</v>
      </c>
      <c r="T32" s="41"/>
      <c r="U32" s="13">
        <v>14033</v>
      </c>
      <c r="V32" s="13">
        <v>14033</v>
      </c>
      <c r="W32" s="24">
        <v>14033</v>
      </c>
      <c r="X32" s="58" t="str">
        <f>HYPERLINK("http://drinc.ca.gov/DNN/Portals/0/SelfCert/aa0148e0-2fcb-4fee-abaf-5f3e2a33aee8.xlsx","WS1")</f>
        <v>WS1</v>
      </c>
      <c r="Y32" s="10" t="s">
        <v>299</v>
      </c>
      <c r="Z32" s="26" t="s">
        <v>13</v>
      </c>
      <c r="AA32" s="13">
        <v>-0.5</v>
      </c>
      <c r="AB32" s="15">
        <v>0</v>
      </c>
      <c r="AC32" s="30" t="s">
        <v>18</v>
      </c>
      <c r="AD32" s="29" t="s">
        <v>299</v>
      </c>
      <c r="AE32" s="32"/>
      <c r="AF32" s="32"/>
      <c r="AG32" s="17"/>
      <c r="AH32" s="27"/>
      <c r="AI32" s="36"/>
      <c r="AJ32" s="11"/>
      <c r="AK32" s="58" t="str">
        <f>HYPERLINK("http://drinc.ca.gov/DNN/Portals/0/SelfCert/29235835-ed7e-4d12-8027-9e0242cebf63.pdf","Cert")</f>
        <v>Cert</v>
      </c>
      <c r="AL32" s="58" t="str">
        <f>HYPERLINK("http://drinc.ca.gov/DNN/Portals/0/SelfCert/04a195e7-b1ef-4498-bb38-df6ad6f24f62.docx","Analysis")</f>
        <v>Analysis</v>
      </c>
    </row>
    <row r="33" spans="1:38" s="19" customFormat="1" ht="14.4" customHeight="1" x14ac:dyDescent="0.3">
      <c r="A33" s="12" t="s">
        <v>128</v>
      </c>
      <c r="B33" s="68" t="s">
        <v>16</v>
      </c>
      <c r="C33" s="73">
        <v>299913.41666666669</v>
      </c>
      <c r="D33" s="14">
        <v>70169</v>
      </c>
      <c r="E33" s="14">
        <v>73751</v>
      </c>
      <c r="F33" s="18">
        <v>0</v>
      </c>
      <c r="G33" s="68" t="s">
        <v>776</v>
      </c>
      <c r="H33" s="64">
        <v>0.28000000000000003</v>
      </c>
      <c r="I33" s="64">
        <v>0.25</v>
      </c>
      <c r="J33" s="64">
        <v>0.22</v>
      </c>
      <c r="K33" s="71">
        <v>0.18158429248476637</v>
      </c>
      <c r="L33" s="65">
        <v>71138</v>
      </c>
      <c r="M33" s="65">
        <v>71138</v>
      </c>
      <c r="N33" s="13">
        <v>70955</v>
      </c>
      <c r="O33" s="13">
        <v>69383</v>
      </c>
      <c r="P33" s="30" t="s">
        <v>4</v>
      </c>
      <c r="Q33" s="13">
        <v>70955</v>
      </c>
      <c r="R33" s="13">
        <v>69383</v>
      </c>
      <c r="S33" s="23">
        <v>70169</v>
      </c>
      <c r="T33" s="41"/>
      <c r="U33" s="13">
        <v>73751</v>
      </c>
      <c r="V33" s="13">
        <v>73751</v>
      </c>
      <c r="W33" s="24">
        <v>73751</v>
      </c>
      <c r="X33" s="58" t="str">
        <f>HYPERLINK("https://drinc.ca.gov/DNN/Portals/0/SelfCert/128c88fd-7b1a-49e9-9f56-9ea61834d7e5.xlsx","WS1")</f>
        <v>WS1</v>
      </c>
      <c r="Y33" s="10"/>
      <c r="Z33" s="26" t="s">
        <v>13</v>
      </c>
      <c r="AA33" s="13">
        <v>-3582</v>
      </c>
      <c r="AB33" s="66">
        <v>0</v>
      </c>
      <c r="AC33" s="30" t="s">
        <v>14</v>
      </c>
      <c r="AD33" s="29" t="s">
        <v>129</v>
      </c>
      <c r="AE33" s="32"/>
      <c r="AF33" s="32"/>
      <c r="AG33" s="17"/>
      <c r="AH33" s="27"/>
      <c r="AI33" s="36"/>
      <c r="AJ33" s="11"/>
      <c r="AK33" s="58" t="str">
        <f>HYPERLINK("https://drinc.ca.gov/DNN/Portals/0/SelfCert/805d0454-b7f4-47be-80da-5e9dadb3a1a6.pdf","Cert")</f>
        <v>Cert</v>
      </c>
      <c r="AL33" s="58" t="str">
        <f>HYPERLINK("https://drinc.ca.gov/DNN/Portals/0/SelfCert/15d3176b-ede7-4798-a5ab-f8c9193e322c.docx","Analysis")</f>
        <v>Analysis</v>
      </c>
    </row>
    <row r="34" spans="1:38" s="19" customFormat="1" ht="14.4" customHeight="1" x14ac:dyDescent="0.3">
      <c r="A34" s="12" t="s">
        <v>236</v>
      </c>
      <c r="B34" s="68" t="s">
        <v>40</v>
      </c>
      <c r="C34" s="73">
        <v>199680</v>
      </c>
      <c r="D34" s="14">
        <v>31634</v>
      </c>
      <c r="E34" s="14">
        <v>31634</v>
      </c>
      <c r="F34" s="18">
        <v>0</v>
      </c>
      <c r="G34" s="68" t="s">
        <v>776</v>
      </c>
      <c r="H34" s="64">
        <v>0.28000000000000003</v>
      </c>
      <c r="I34" s="64">
        <v>0.25</v>
      </c>
      <c r="J34" s="64">
        <v>0.34</v>
      </c>
      <c r="K34" s="71">
        <v>0.37758369723435237</v>
      </c>
      <c r="L34" s="65">
        <v>33770</v>
      </c>
      <c r="M34" s="65">
        <v>33770</v>
      </c>
      <c r="N34" s="13">
        <v>33769</v>
      </c>
      <c r="O34" s="13">
        <v>29499</v>
      </c>
      <c r="P34" s="30" t="s">
        <v>4</v>
      </c>
      <c r="Q34" s="13">
        <v>33769</v>
      </c>
      <c r="R34" s="13">
        <v>29499</v>
      </c>
      <c r="S34" s="23">
        <v>31634</v>
      </c>
      <c r="T34" s="41"/>
      <c r="U34" s="13">
        <v>31634</v>
      </c>
      <c r="V34" s="13">
        <v>31634</v>
      </c>
      <c r="W34" s="24">
        <v>31634</v>
      </c>
      <c r="X34" s="58" t="str">
        <f>HYPERLINK("http://drinc.ca.gov/DNN/Portals/0/SelfCert/88e93799-793c-4b85-b69a-5946f9068f2f.xlsx","WS1")</f>
        <v>WS1</v>
      </c>
      <c r="Y34" s="10"/>
      <c r="Z34" s="26" t="s">
        <v>13</v>
      </c>
      <c r="AA34" s="13">
        <v>0</v>
      </c>
      <c r="AB34" s="15">
        <v>0</v>
      </c>
      <c r="AC34" s="30" t="s">
        <v>14</v>
      </c>
      <c r="AD34" s="29"/>
      <c r="AE34" s="32"/>
      <c r="AF34" s="32"/>
      <c r="AG34" s="17"/>
      <c r="AH34" s="27"/>
      <c r="AI34" s="36"/>
      <c r="AJ34" s="11"/>
      <c r="AK34" s="58" t="str">
        <f>HYPERLINK("http://drinc.ca.gov/DNN/Portals/0/SelfCert/08746796-2c53-41dd-a1a1-392e9ff2452b.pdf","Cert")</f>
        <v>Cert</v>
      </c>
      <c r="AL34" s="58" t="str">
        <f>HYPERLINK("http://drinc.ca.gov/DNN/Portals/0/SelfCert/9debde8e-70ed-4440-82be-0d41cd7117c7.xlsx","Analysis")</f>
        <v>Analysis</v>
      </c>
    </row>
    <row r="35" spans="1:38" s="19" customFormat="1" ht="14.4" customHeight="1" x14ac:dyDescent="0.3">
      <c r="A35" s="12" t="s">
        <v>339</v>
      </c>
      <c r="B35" s="68" t="s">
        <v>23</v>
      </c>
      <c r="C35" s="73">
        <v>18022</v>
      </c>
      <c r="D35" s="14">
        <v>2816.4</v>
      </c>
      <c r="E35" s="14">
        <v>4430</v>
      </c>
      <c r="F35" s="18">
        <v>0</v>
      </c>
      <c r="G35" s="68" t="s">
        <v>776</v>
      </c>
      <c r="H35" s="64">
        <v>0.24</v>
      </c>
      <c r="I35" s="64">
        <v>0.2</v>
      </c>
      <c r="J35" s="64">
        <v>0.12</v>
      </c>
      <c r="K35" s="71">
        <v>0.17609663694697064</v>
      </c>
      <c r="L35" s="65">
        <v>2835.7</v>
      </c>
      <c r="M35" s="65">
        <v>2835.7</v>
      </c>
      <c r="N35" s="13">
        <v>2835.8</v>
      </c>
      <c r="O35" s="13">
        <v>2797</v>
      </c>
      <c r="P35" s="30" t="s">
        <v>4</v>
      </c>
      <c r="Q35" s="13">
        <v>2835.8</v>
      </c>
      <c r="R35" s="13">
        <v>2797</v>
      </c>
      <c r="S35" s="23">
        <v>2816.4</v>
      </c>
      <c r="T35" s="41" t="s">
        <v>340</v>
      </c>
      <c r="U35" s="13">
        <v>4430</v>
      </c>
      <c r="V35" s="13">
        <v>4430</v>
      </c>
      <c r="W35" s="24">
        <v>4430</v>
      </c>
      <c r="X35" s="58" t="str">
        <f>HYPERLINK("http://drinc.ca.gov/DNN/Portals/0/SelfCert/f5a8fd5f-8f24-4ef5-87d9-192b438e6fcc.xlsx","WS1")</f>
        <v>WS1</v>
      </c>
      <c r="Y35" s="10"/>
      <c r="Z35" s="26" t="s">
        <v>13</v>
      </c>
      <c r="AA35" s="13">
        <v>-1613.6</v>
      </c>
      <c r="AB35" s="66">
        <v>0</v>
      </c>
      <c r="AC35" s="30" t="s">
        <v>14</v>
      </c>
      <c r="AD35" s="29"/>
      <c r="AE35" s="32">
        <v>4430</v>
      </c>
      <c r="AF35" s="32">
        <v>4430</v>
      </c>
      <c r="AG35" s="17">
        <v>0</v>
      </c>
      <c r="AH35" s="27" t="str">
        <f>HYPERLINK("http://drinc.ca.gov/DNN/Portals/0/SelfCert/e9f4cd71-c976-4277-a3b3-ab6819bc53a0.xlsx","WS2")</f>
        <v>WS2</v>
      </c>
      <c r="AI35" s="36"/>
      <c r="AJ35" s="11"/>
      <c r="AK35" s="58" t="str">
        <f>HYPERLINK("http://drinc.ca.gov/DNN/Portals/0/SelfCert/7760bef1-59d3-4bbb-a0b9-494be9b8ac90.pdf","Cert")</f>
        <v>Cert</v>
      </c>
      <c r="AL35" s="58" t="str">
        <f>HYPERLINK("http://drinc.ca.gov/DNN/Portals/0/SelfCert/7a13c726-c062-4699-bb2c-e37fdea86893.pdf","Analysis")</f>
        <v>Analysis</v>
      </c>
    </row>
    <row r="36" spans="1:38" s="19" customFormat="1" ht="14.4" customHeight="1" x14ac:dyDescent="0.3">
      <c r="A36" s="12" t="s">
        <v>435</v>
      </c>
      <c r="B36" s="68" t="s">
        <v>11</v>
      </c>
      <c r="C36" s="73">
        <v>3388.5833333333335</v>
      </c>
      <c r="D36" s="14">
        <v>870</v>
      </c>
      <c r="E36" s="14">
        <v>2189</v>
      </c>
      <c r="F36" s="18">
        <v>0</v>
      </c>
      <c r="G36" s="68" t="s">
        <v>776</v>
      </c>
      <c r="H36" s="64">
        <v>0.36</v>
      </c>
      <c r="I36" s="64">
        <v>0.32</v>
      </c>
      <c r="J36" s="64">
        <v>0.51</v>
      </c>
      <c r="K36" s="71">
        <v>0.54724818276220133</v>
      </c>
      <c r="L36" s="65">
        <v>890.6</v>
      </c>
      <c r="M36" s="65">
        <v>890.6</v>
      </c>
      <c r="N36" s="13">
        <v>290.2</v>
      </c>
      <c r="O36" s="13">
        <v>276.8</v>
      </c>
      <c r="P36" s="30" t="s">
        <v>5</v>
      </c>
      <c r="Q36" s="13">
        <v>890.5</v>
      </c>
      <c r="R36" s="13">
        <v>849.5</v>
      </c>
      <c r="S36" s="23">
        <v>870</v>
      </c>
      <c r="T36" s="41"/>
      <c r="U36" s="13">
        <v>2189</v>
      </c>
      <c r="V36" s="13">
        <v>2189</v>
      </c>
      <c r="W36" s="24">
        <v>2189</v>
      </c>
      <c r="X36" s="58" t="str">
        <f>HYPERLINK("http://drinc.ca.gov/DNN/Portals/0/SelfCert/07852119-cbc8-42c8-8962-58df421066ad.xlsx","WS1")</f>
        <v>WS1</v>
      </c>
      <c r="Y36" s="10" t="s">
        <v>68</v>
      </c>
      <c r="Z36" s="26" t="s">
        <v>13</v>
      </c>
      <c r="AA36" s="13">
        <v>-1319</v>
      </c>
      <c r="AB36" s="66">
        <v>0</v>
      </c>
      <c r="AC36" s="30" t="s">
        <v>18</v>
      </c>
      <c r="AD36" s="29" t="s">
        <v>712</v>
      </c>
      <c r="AE36" s="32"/>
      <c r="AF36" s="32"/>
      <c r="AG36" s="17"/>
      <c r="AH36" s="27"/>
      <c r="AI36" s="27"/>
      <c r="AJ36" s="11"/>
      <c r="AK36" s="58" t="str">
        <f>HYPERLINK("http://drinc.ca.gov/DNN/Portals/0/SelfCert/8617a2f7-ece6-412c-8599-6e1b28b08a1b.pdf","Cert")</f>
        <v>Cert</v>
      </c>
      <c r="AL36" s="58" t="str">
        <f>HYPERLINK("http://drinc.ca.gov/DNN/Portals/0/SelfCert/50a3c480-f984-4fba-b557-452be63c61a3.xlsx","Analysis")</f>
        <v>Analysis</v>
      </c>
    </row>
    <row r="37" spans="1:38" s="19" customFormat="1" ht="14.4" customHeight="1" x14ac:dyDescent="0.3">
      <c r="A37" s="12" t="s">
        <v>466</v>
      </c>
      <c r="B37" s="68" t="s">
        <v>16</v>
      </c>
      <c r="C37" s="73">
        <v>388907</v>
      </c>
      <c r="D37" s="14">
        <v>64770.5</v>
      </c>
      <c r="E37" s="14">
        <v>82121</v>
      </c>
      <c r="F37" s="18">
        <v>0</v>
      </c>
      <c r="G37" s="68" t="s">
        <v>776</v>
      </c>
      <c r="H37" s="64">
        <v>0.16</v>
      </c>
      <c r="I37" s="64">
        <v>0.08</v>
      </c>
      <c r="J37" s="64">
        <v>0.16</v>
      </c>
      <c r="K37" s="71">
        <v>0.19023203838822045</v>
      </c>
      <c r="L37" s="65">
        <v>62698.5</v>
      </c>
      <c r="M37" s="65">
        <v>62698.5</v>
      </c>
      <c r="N37" s="13">
        <v>64711</v>
      </c>
      <c r="O37" s="13">
        <v>64830</v>
      </c>
      <c r="P37" s="30" t="s">
        <v>4</v>
      </c>
      <c r="Q37" s="13">
        <v>64711</v>
      </c>
      <c r="R37" s="13">
        <v>64830</v>
      </c>
      <c r="S37" s="23">
        <v>64770.5</v>
      </c>
      <c r="T37" s="41"/>
      <c r="U37" s="13">
        <v>80185</v>
      </c>
      <c r="V37" s="13">
        <v>83361</v>
      </c>
      <c r="W37" s="24">
        <v>82121</v>
      </c>
      <c r="X37" s="58" t="str">
        <f>HYPERLINK("http://drinc.ca.gov/DNN/Portals/0/SelfCert/04a15950-3fc8-49e1-ab79-2585410470dd.xlsx","WS1")</f>
        <v>WS1</v>
      </c>
      <c r="Y37" s="10"/>
      <c r="Z37" s="26" t="s">
        <v>13</v>
      </c>
      <c r="AA37" s="13">
        <v>-17350.5</v>
      </c>
      <c r="AB37" s="66">
        <v>0</v>
      </c>
      <c r="AC37" s="30" t="s">
        <v>18</v>
      </c>
      <c r="AD37" s="29" t="s">
        <v>467</v>
      </c>
      <c r="AE37" s="32"/>
      <c r="AF37" s="32"/>
      <c r="AG37" s="17"/>
      <c r="AH37" s="27"/>
      <c r="AI37" s="27"/>
      <c r="AJ37" s="11"/>
      <c r="AK37" s="58" t="str">
        <f>HYPERLINK("http://drinc.ca.gov/DNN/Portals/0/SelfCert/008446f6-0e74-4f41-a1b9-4fb18b8e4ec7.pdf","Cert")</f>
        <v>Cert</v>
      </c>
      <c r="AL37" s="58" t="str">
        <f>HYPERLINK("http://drinc.ca.gov/DNN/Portals/0/SelfCert/98bdba8b-668b-4ff5-95af-5b143b4a416e.docx","Analysis")</f>
        <v>Analysis</v>
      </c>
    </row>
    <row r="38" spans="1:38" s="19" customFormat="1" ht="14.4" customHeight="1" x14ac:dyDescent="0.3">
      <c r="A38" s="12" t="s">
        <v>718</v>
      </c>
      <c r="B38" s="68" t="s">
        <v>38</v>
      </c>
      <c r="C38" s="73">
        <v>65757.916666666672</v>
      </c>
      <c r="D38" s="14">
        <v>7901</v>
      </c>
      <c r="E38" s="14">
        <v>9315</v>
      </c>
      <c r="F38" s="18">
        <v>0</v>
      </c>
      <c r="G38" s="68" t="s">
        <v>776</v>
      </c>
      <c r="H38" s="64">
        <v>0.2</v>
      </c>
      <c r="I38" s="64">
        <v>0.2</v>
      </c>
      <c r="J38" s="64">
        <v>0.22</v>
      </c>
      <c r="K38" s="71">
        <v>0.19082525942232254</v>
      </c>
      <c r="L38" s="65">
        <v>8297.7999999999993</v>
      </c>
      <c r="M38" s="65">
        <v>7450.8</v>
      </c>
      <c r="N38" s="13">
        <v>8298</v>
      </c>
      <c r="O38" s="13">
        <v>7504</v>
      </c>
      <c r="P38" s="30" t="s">
        <v>4</v>
      </c>
      <c r="Q38" s="13">
        <v>8298</v>
      </c>
      <c r="R38" s="13">
        <v>7504</v>
      </c>
      <c r="S38" s="23">
        <v>7901</v>
      </c>
      <c r="T38" s="41"/>
      <c r="U38" s="13">
        <v>9315</v>
      </c>
      <c r="V38" s="13">
        <v>9315</v>
      </c>
      <c r="W38" s="24">
        <v>9315</v>
      </c>
      <c r="X38" s="58" t="str">
        <f>HYPERLINK("http://drinc.ca.gov/DNN/Portals/0/SelfCert/f1969a67-0a1d-4f59-86bf-9667ddb406b8.xlsx","WS1")</f>
        <v>WS1</v>
      </c>
      <c r="Y38" s="10" t="s">
        <v>719</v>
      </c>
      <c r="Z38" s="26" t="s">
        <v>13</v>
      </c>
      <c r="AA38" s="13">
        <v>-1414</v>
      </c>
      <c r="AB38" s="66">
        <v>0</v>
      </c>
      <c r="AC38" s="30" t="s">
        <v>18</v>
      </c>
      <c r="AD38" s="29" t="s">
        <v>720</v>
      </c>
      <c r="AE38" s="32"/>
      <c r="AF38" s="32"/>
      <c r="AG38" s="17"/>
      <c r="AH38" s="27"/>
      <c r="AI38" s="27"/>
      <c r="AJ38" s="11"/>
      <c r="AK38" s="58" t="str">
        <f>HYPERLINK("http://drinc.ca.gov/DNN/Portals/0/SelfCert/d6db0fb6-b2c8-4241-b59d-359c91324604.pdf","Cert")</f>
        <v>Cert</v>
      </c>
      <c r="AL38" s="58" t="str">
        <f>HYPERLINK("http://drinc.ca.gov/DNN/Portals/0/SelfCert/75196185-7ac2-4982-8df3-da992cd684ce.pdf","Analysis")</f>
        <v>Analysis</v>
      </c>
    </row>
    <row r="39" spans="1:38" s="19" customFormat="1" ht="14.4" customHeight="1" x14ac:dyDescent="0.3">
      <c r="A39" s="12" t="s">
        <v>161</v>
      </c>
      <c r="B39" s="68" t="s">
        <v>40</v>
      </c>
      <c r="C39" s="73">
        <v>117630.66666666667</v>
      </c>
      <c r="D39" s="14">
        <v>20547</v>
      </c>
      <c r="E39" s="14">
        <v>20923</v>
      </c>
      <c r="F39" s="18">
        <v>0</v>
      </c>
      <c r="G39" s="68" t="s">
        <v>776</v>
      </c>
      <c r="H39" s="64">
        <v>0.2</v>
      </c>
      <c r="I39" s="64">
        <v>0.2</v>
      </c>
      <c r="J39" s="64">
        <v>0.3</v>
      </c>
      <c r="K39" s="71">
        <v>0.25237449118046129</v>
      </c>
      <c r="L39" s="65">
        <v>21755.3</v>
      </c>
      <c r="M39" s="65">
        <v>21755.3</v>
      </c>
      <c r="N39" s="13">
        <v>21754</v>
      </c>
      <c r="O39" s="13">
        <v>19340</v>
      </c>
      <c r="P39" s="30" t="s">
        <v>4</v>
      </c>
      <c r="Q39" s="13">
        <v>21754</v>
      </c>
      <c r="R39" s="13">
        <v>19340</v>
      </c>
      <c r="S39" s="23">
        <v>20547</v>
      </c>
      <c r="T39" s="41"/>
      <c r="U39" s="13">
        <v>20630</v>
      </c>
      <c r="V39" s="13">
        <v>20477</v>
      </c>
      <c r="W39" s="24">
        <v>20923</v>
      </c>
      <c r="X39" s="58" t="str">
        <f>HYPERLINK("http://drinc.ca.gov/DNN/Portals/0/SelfCert/73721b86-99e9-4e0b-b441-aa36039a9117.xlsx","WS1")</f>
        <v>WS1</v>
      </c>
      <c r="Y39" s="10" t="s">
        <v>695</v>
      </c>
      <c r="Z39" s="26" t="s">
        <v>13</v>
      </c>
      <c r="AA39" s="13">
        <v>-376</v>
      </c>
      <c r="AB39" s="66">
        <v>0</v>
      </c>
      <c r="AC39" s="30" t="s">
        <v>18</v>
      </c>
      <c r="AD39" s="29" t="s">
        <v>696</v>
      </c>
      <c r="AE39" s="32"/>
      <c r="AF39" s="32"/>
      <c r="AG39" s="17"/>
      <c r="AH39" s="27"/>
      <c r="AI39" s="27"/>
      <c r="AJ39" s="11"/>
      <c r="AK39" s="58" t="str">
        <f>HYPERLINK("http://drinc.ca.gov/DNN/Portals/0/SelfCert/33976b21-7dc7-4f48-b48e-dfeceb429106.pdf","Cert")</f>
        <v>Cert</v>
      </c>
      <c r="AL39" s="58" t="str">
        <f>HYPERLINK("http://drinc.ca.gov/DNN/Portals/0/SelfCert/971a3976-7a8c-4211-8b15-7de29ce99085.docx","Analysis")</f>
        <v>Analysis</v>
      </c>
    </row>
    <row r="40" spans="1:38" s="19" customFormat="1" ht="14.4" customHeight="1" x14ac:dyDescent="0.3">
      <c r="A40" s="12" t="s">
        <v>328</v>
      </c>
      <c r="B40" s="68" t="s">
        <v>46</v>
      </c>
      <c r="C40" s="73">
        <v>24056.166666666668</v>
      </c>
      <c r="D40" s="14">
        <v>5174.6000000000004</v>
      </c>
      <c r="E40" s="14">
        <v>17557</v>
      </c>
      <c r="F40" s="18">
        <v>0</v>
      </c>
      <c r="G40" s="68" t="s">
        <v>776</v>
      </c>
      <c r="H40" s="64">
        <v>0.32</v>
      </c>
      <c r="I40" s="64">
        <v>0.28999999999999998</v>
      </c>
      <c r="J40" s="64">
        <v>0.33</v>
      </c>
      <c r="K40" s="71">
        <v>0.33261452942304004</v>
      </c>
      <c r="L40" s="65">
        <v>5411.9</v>
      </c>
      <c r="M40" s="65">
        <v>5411.9</v>
      </c>
      <c r="N40" s="13">
        <v>1790.5</v>
      </c>
      <c r="O40" s="13">
        <v>1581.8</v>
      </c>
      <c r="P40" s="30" t="s">
        <v>5</v>
      </c>
      <c r="Q40" s="13">
        <v>5494.7</v>
      </c>
      <c r="R40" s="13">
        <v>4854.5</v>
      </c>
      <c r="S40" s="23">
        <v>5174.6000000000004</v>
      </c>
      <c r="T40" s="41"/>
      <c r="U40" s="13">
        <v>26715</v>
      </c>
      <c r="V40" s="13">
        <v>21678</v>
      </c>
      <c r="W40" s="24">
        <v>17557</v>
      </c>
      <c r="X40" s="58" t="str">
        <f>HYPERLINK("http://drinc.ca.gov/DNN/Portals/0/SelfCert/beeb57d3-4bc5-4389-bfde-93787827b8ff.xlsx","WS1")</f>
        <v>WS1</v>
      </c>
      <c r="Y40" s="10"/>
      <c r="Z40" s="26" t="s">
        <v>13</v>
      </c>
      <c r="AA40" s="13">
        <v>-12382.4</v>
      </c>
      <c r="AB40" s="66">
        <v>0</v>
      </c>
      <c r="AC40" s="30" t="s">
        <v>18</v>
      </c>
      <c r="AD40" s="29"/>
      <c r="AE40" s="32"/>
      <c r="AF40" s="32"/>
      <c r="AG40" s="17"/>
      <c r="AH40" s="27"/>
      <c r="AI40" s="27"/>
      <c r="AJ40" s="11"/>
      <c r="AK40" s="58" t="str">
        <f>HYPERLINK("http://drinc.ca.gov/DNN/Portals/0/SelfCert/a28aa6a1-d4bd-4be1-be5e-7a215e92a766.pdf","Cert")</f>
        <v>Cert</v>
      </c>
      <c r="AL40" s="58" t="str">
        <f>HYPERLINK("http://drinc.ca.gov/DNN/Portals/0/SelfCert/b0d2bf73-1a0b-4d0a-99ce-835ed8688eb6.docx","Analysis")</f>
        <v>Analysis</v>
      </c>
    </row>
    <row r="41" spans="1:38" s="19" customFormat="1" ht="14.4" customHeight="1" x14ac:dyDescent="0.3">
      <c r="A41" s="12" t="s">
        <v>593</v>
      </c>
      <c r="B41" s="68" t="s">
        <v>16</v>
      </c>
      <c r="C41" s="73">
        <v>9688.25</v>
      </c>
      <c r="D41" s="14">
        <v>19606.5</v>
      </c>
      <c r="E41" s="14">
        <v>43546</v>
      </c>
      <c r="F41" s="18">
        <v>0</v>
      </c>
      <c r="G41" s="68" t="s">
        <v>776</v>
      </c>
      <c r="H41" s="64">
        <v>0.32</v>
      </c>
      <c r="I41" s="64">
        <v>0.32</v>
      </c>
      <c r="J41" s="64">
        <v>0.25</v>
      </c>
      <c r="K41" s="71">
        <v>0.10890138817335582</v>
      </c>
      <c r="L41" s="65">
        <v>13587.4</v>
      </c>
      <c r="M41" s="65">
        <v>13587.4</v>
      </c>
      <c r="N41" s="13">
        <v>20402</v>
      </c>
      <c r="O41" s="13">
        <v>18811</v>
      </c>
      <c r="P41" s="30" t="s">
        <v>4</v>
      </c>
      <c r="Q41" s="13">
        <v>20402</v>
      </c>
      <c r="R41" s="13">
        <v>18811</v>
      </c>
      <c r="S41" s="23">
        <v>19606.5</v>
      </c>
      <c r="T41" s="41"/>
      <c r="U41" s="13">
        <v>96816</v>
      </c>
      <c r="V41" s="13">
        <v>69815</v>
      </c>
      <c r="W41" s="24">
        <v>43546</v>
      </c>
      <c r="X41" s="58" t="str">
        <f>HYPERLINK("http://www.drinc.ca.gov/DNN/Portals/0/SelfCert/4e2f8b85-8f9e-46f3-85c5-83db99c369dc.xlsx","WS1")</f>
        <v>WS1</v>
      </c>
      <c r="Y41" s="10"/>
      <c r="Z41" s="26" t="s">
        <v>13</v>
      </c>
      <c r="AA41" s="13">
        <v>-23939.5</v>
      </c>
      <c r="AB41" s="66">
        <v>0</v>
      </c>
      <c r="AC41" s="30" t="s">
        <v>18</v>
      </c>
      <c r="AD41" s="29" t="s">
        <v>594</v>
      </c>
      <c r="AE41" s="32"/>
      <c r="AF41" s="32"/>
      <c r="AG41" s="17"/>
      <c r="AH41" s="27"/>
      <c r="AI41" s="27"/>
      <c r="AJ41" s="11"/>
      <c r="AK41" s="58" t="str">
        <f>HYPERLINK("http://www.drinc.ca.gov/DNN/Portals/0/SelfCert/37867f61-50d9-4a15-a60e-f19ebefb4869.pdf","Cert")</f>
        <v>Cert</v>
      </c>
      <c r="AL41" s="58" t="str">
        <f>HYPERLINK("http://www.drinc.ca.gov/DNN/Portals/0/SelfCert/6ee1e0c4-df85-4d91-a583-dfeeebbbe18c.xlsx","Analysis")</f>
        <v>Analysis</v>
      </c>
    </row>
    <row r="42" spans="1:38" s="19" customFormat="1" ht="14.4" customHeight="1" x14ac:dyDescent="0.3">
      <c r="A42" s="12" t="s">
        <v>230</v>
      </c>
      <c r="B42" s="68" t="s">
        <v>50</v>
      </c>
      <c r="C42" s="73">
        <v>174986.25</v>
      </c>
      <c r="D42" s="14">
        <v>35557.5</v>
      </c>
      <c r="E42" s="14">
        <v>44595</v>
      </c>
      <c r="F42" s="18">
        <v>0</v>
      </c>
      <c r="G42" s="68" t="s">
        <v>776</v>
      </c>
      <c r="H42" s="64">
        <v>0.32</v>
      </c>
      <c r="I42" s="64">
        <v>0.28999999999999998</v>
      </c>
      <c r="J42" s="64">
        <v>0.31</v>
      </c>
      <c r="K42" s="71">
        <v>0.17247265211915908</v>
      </c>
      <c r="L42" s="65">
        <v>38554</v>
      </c>
      <c r="M42" s="65">
        <v>38554</v>
      </c>
      <c r="N42" s="13">
        <v>38554</v>
      </c>
      <c r="O42" s="13">
        <v>32561</v>
      </c>
      <c r="P42" s="30" t="s">
        <v>4</v>
      </c>
      <c r="Q42" s="13">
        <v>38554</v>
      </c>
      <c r="R42" s="13">
        <v>32561</v>
      </c>
      <c r="S42" s="23">
        <v>35557.5</v>
      </c>
      <c r="T42" s="41"/>
      <c r="U42" s="13">
        <v>52084</v>
      </c>
      <c r="V42" s="13">
        <v>42631</v>
      </c>
      <c r="W42" s="24">
        <v>44595</v>
      </c>
      <c r="X42" s="58" t="str">
        <f>HYPERLINK("https://drinc.ca.gov/DNN/Portals/0/SelfCert/e9382c00-a68c-4d2d-a94b-136c970d274e.xlsx","WS1")</f>
        <v>WS1</v>
      </c>
      <c r="Y42" s="10" t="s">
        <v>231</v>
      </c>
      <c r="Z42" s="26" t="s">
        <v>13</v>
      </c>
      <c r="AA42" s="13">
        <v>-9037.5</v>
      </c>
      <c r="AB42" s="66">
        <v>0</v>
      </c>
      <c r="AC42" s="30" t="s">
        <v>18</v>
      </c>
      <c r="AD42" s="29" t="s">
        <v>232</v>
      </c>
      <c r="AE42" s="32"/>
      <c r="AF42" s="32"/>
      <c r="AG42" s="17"/>
      <c r="AH42" s="27"/>
      <c r="AI42" s="27"/>
      <c r="AJ42" s="11"/>
      <c r="AK42" s="58" t="str">
        <f>HYPERLINK("https://drinc.ca.gov/DNN/Portals/0/SelfCert/f5cce0f7-a013-4c4c-9e27-b3a28ee93722.pdf","Cert")</f>
        <v>Cert</v>
      </c>
      <c r="AL42" s="58" t="str">
        <f>HYPERLINK("https://drinc.ca.gov/DNN/Portals/0/SelfCert/5c7fe738-a25c-4b7d-bf94-f33c1e587f33.doc","Analysis")</f>
        <v>Analysis</v>
      </c>
    </row>
    <row r="43" spans="1:38" s="19" customFormat="1" ht="14.4" customHeight="1" x14ac:dyDescent="0.3">
      <c r="A43" s="12" t="s">
        <v>311</v>
      </c>
      <c r="B43" s="68" t="s">
        <v>40</v>
      </c>
      <c r="C43" s="73">
        <v>990000</v>
      </c>
      <c r="D43" s="14">
        <v>139043.4</v>
      </c>
      <c r="E43" s="14">
        <v>136121</v>
      </c>
      <c r="F43" s="18">
        <v>0.02</v>
      </c>
      <c r="G43" s="68" t="s">
        <v>776</v>
      </c>
      <c r="H43" s="64">
        <v>0.2</v>
      </c>
      <c r="I43" s="64">
        <v>0.2</v>
      </c>
      <c r="J43" s="64">
        <v>0.32</v>
      </c>
      <c r="K43" s="71">
        <v>0.27824798554872232</v>
      </c>
      <c r="L43" s="65">
        <v>146775.5</v>
      </c>
      <c r="M43" s="65">
        <v>146775.5</v>
      </c>
      <c r="N43" s="13">
        <v>47827</v>
      </c>
      <c r="O43" s="13">
        <v>42788</v>
      </c>
      <c r="P43" s="30" t="s">
        <v>5</v>
      </c>
      <c r="Q43" s="13">
        <v>146775.5</v>
      </c>
      <c r="R43" s="13">
        <v>131311.4</v>
      </c>
      <c r="S43" s="23">
        <v>139043.4</v>
      </c>
      <c r="T43" s="41"/>
      <c r="U43" s="13">
        <v>128107</v>
      </c>
      <c r="V43" s="13">
        <v>143313</v>
      </c>
      <c r="W43" s="24">
        <v>136121</v>
      </c>
      <c r="X43" s="58" t="str">
        <f>HYPERLINK("http://www.drinc.ca.gov/DNN/Portals/0/SelfCert/c8c0b7e7-adf7-4edc-8958-889f83f05215.xlsx","WS1")</f>
        <v>WS1</v>
      </c>
      <c r="Y43" s="10"/>
      <c r="Z43" s="26" t="s">
        <v>13</v>
      </c>
      <c r="AA43" s="13">
        <v>2922.4</v>
      </c>
      <c r="AB43" s="15">
        <v>0.02</v>
      </c>
      <c r="AC43" s="30" t="s">
        <v>18</v>
      </c>
      <c r="AD43" s="29" t="s">
        <v>312</v>
      </c>
      <c r="AE43" s="32"/>
      <c r="AF43" s="32"/>
      <c r="AG43" s="17"/>
      <c r="AH43" s="27"/>
      <c r="AI43" s="27"/>
      <c r="AJ43" s="11"/>
      <c r="AK43" s="58" t="str">
        <f>HYPERLINK("http://www.drinc.ca.gov/DNN/Portals/0/SelfCert/63830d5e-046a-4120-942c-584f096d2088.pdf","Cert")</f>
        <v>Cert</v>
      </c>
      <c r="AL43" s="58" t="str">
        <f>HYPERLINK("http://www.drinc.ca.gov/DNN/Portals/0/SelfCert/6728ee50-e9b5-4268-b1ab-f481e610c292.docx","Analysis")</f>
        <v>Analysis</v>
      </c>
    </row>
    <row r="44" spans="1:38" s="19" customFormat="1" ht="14.4" customHeight="1" x14ac:dyDescent="0.3">
      <c r="A44" s="12" t="s">
        <v>655</v>
      </c>
      <c r="B44" s="68" t="s">
        <v>16</v>
      </c>
      <c r="C44" s="73">
        <v>62106</v>
      </c>
      <c r="D44" s="14">
        <v>11409</v>
      </c>
      <c r="E44" s="14">
        <v>11571</v>
      </c>
      <c r="F44" s="18">
        <v>0</v>
      </c>
      <c r="G44" s="12" t="s">
        <v>797</v>
      </c>
      <c r="H44" s="64">
        <v>0.2</v>
      </c>
      <c r="I44" s="64">
        <v>0.2</v>
      </c>
      <c r="J44" s="64">
        <v>0.12</v>
      </c>
      <c r="K44" s="71">
        <v>0.15280280755003317</v>
      </c>
      <c r="L44" s="65">
        <v>11280.3</v>
      </c>
      <c r="M44" s="65">
        <v>11280.3</v>
      </c>
      <c r="N44" s="13">
        <v>11489.9</v>
      </c>
      <c r="O44" s="13">
        <v>11202.2</v>
      </c>
      <c r="P44" s="30" t="s">
        <v>4</v>
      </c>
      <c r="Q44" s="13">
        <v>11489.9</v>
      </c>
      <c r="R44" s="13">
        <v>11202.2</v>
      </c>
      <c r="S44" s="23">
        <v>11346.1</v>
      </c>
      <c r="T44" s="41"/>
      <c r="U44" s="13">
        <v>11571</v>
      </c>
      <c r="V44" s="13">
        <v>11571</v>
      </c>
      <c r="W44" s="24">
        <v>11571</v>
      </c>
      <c r="X44" s="58" t="str">
        <f>HYPERLINK("https://drinc.ca.gov/DNN/Portals/0/SelfCert/15d42b78-7346-4d70-ae37-646847186316.xlsx","WS1")</f>
        <v>WS1</v>
      </c>
      <c r="Y44" s="10"/>
      <c r="Z44" s="26" t="s">
        <v>13</v>
      </c>
      <c r="AA44" s="13">
        <v>-225</v>
      </c>
      <c r="AB44" s="66">
        <v>0</v>
      </c>
      <c r="AC44" s="30" t="s">
        <v>14</v>
      </c>
      <c r="AD44" s="29"/>
      <c r="AE44" s="32"/>
      <c r="AF44" s="32"/>
      <c r="AG44" s="17"/>
      <c r="AH44" s="27"/>
      <c r="AI44" s="27"/>
      <c r="AJ44" s="11"/>
      <c r="AK44" s="58" t="str">
        <f>HYPERLINK("https://drinc.ca.gov/DNN/Portals/0/SelfCert/718913b0-2b47-4264-9c98-6931c5e0f33e.pdf","Cert")</f>
        <v>Cert</v>
      </c>
      <c r="AL44" s="58" t="str">
        <f>HYPERLINK("https://drinc.ca.gov/DNN/Portals/0/SelfCert/9af1f031-a9dd-456e-a98c-6997c161f7b3.xlsx","Analysis")</f>
        <v>Analysis</v>
      </c>
    </row>
    <row r="45" spans="1:38" s="19" customFormat="1" ht="14.4" customHeight="1" x14ac:dyDescent="0.3">
      <c r="A45" s="12" t="s">
        <v>139</v>
      </c>
      <c r="B45" s="68" t="s">
        <v>50</v>
      </c>
      <c r="C45" s="73">
        <v>63615.583333333336</v>
      </c>
      <c r="D45" s="14">
        <v>20157</v>
      </c>
      <c r="E45" s="14">
        <v>23285</v>
      </c>
      <c r="F45" s="18">
        <v>0</v>
      </c>
      <c r="G45" s="68" t="s">
        <v>776</v>
      </c>
      <c r="H45" s="64">
        <v>0.32</v>
      </c>
      <c r="I45" s="64">
        <v>0.28000000000000003</v>
      </c>
      <c r="J45" s="64">
        <v>0.26</v>
      </c>
      <c r="K45" s="71">
        <v>0.15019157088122603</v>
      </c>
      <c r="L45" s="65">
        <v>22213</v>
      </c>
      <c r="M45" s="65">
        <v>22213</v>
      </c>
      <c r="N45" s="13">
        <v>22413</v>
      </c>
      <c r="O45" s="13">
        <v>17901</v>
      </c>
      <c r="P45" s="30" t="s">
        <v>4</v>
      </c>
      <c r="Q45" s="13">
        <v>22413</v>
      </c>
      <c r="R45" s="13">
        <v>17901</v>
      </c>
      <c r="S45" s="23">
        <v>20157</v>
      </c>
      <c r="T45" s="41"/>
      <c r="U45" s="13">
        <v>24556</v>
      </c>
      <c r="V45" s="13">
        <v>23774</v>
      </c>
      <c r="W45" s="24">
        <v>23285</v>
      </c>
      <c r="X45" s="58" t="str">
        <f>HYPERLINK("http://drinc.ca.gov/DNN/Portals/0/SelfCert/982d3a9d-9539-49a8-a495-48489b217093.xlsx","WS1")</f>
        <v>WS1</v>
      </c>
      <c r="Y45" s="10" t="s">
        <v>140</v>
      </c>
      <c r="Z45" s="26" t="s">
        <v>13</v>
      </c>
      <c r="AA45" s="13">
        <v>-3128</v>
      </c>
      <c r="AB45" s="66">
        <v>0</v>
      </c>
      <c r="AC45" s="30" t="s">
        <v>18</v>
      </c>
      <c r="AD45" s="29" t="s">
        <v>141</v>
      </c>
      <c r="AE45" s="32"/>
      <c r="AF45" s="32"/>
      <c r="AG45" s="17"/>
      <c r="AH45" s="27"/>
      <c r="AI45" s="27"/>
      <c r="AJ45" s="11"/>
      <c r="AK45" s="58" t="str">
        <f>HYPERLINK("http://drinc.ca.gov/DNN/Portals/0/SelfCert/5754a3b0-30a7-4d52-b7a7-cc0896fa43fd.pdf","Cert")</f>
        <v>Cert</v>
      </c>
      <c r="AL45" s="58" t="str">
        <f>HYPERLINK("http://drinc.ca.gov/DNN/Portals/0/SelfCert/67a3a89c-8736-4845-99b4-438c5aa31aa8.docx","Analysis")</f>
        <v>Analysis</v>
      </c>
    </row>
    <row r="46" spans="1:38" s="19" customFormat="1" ht="14.4" customHeight="1" x14ac:dyDescent="0.3">
      <c r="A46" s="12" t="s">
        <v>330</v>
      </c>
      <c r="B46" s="68" t="s">
        <v>16</v>
      </c>
      <c r="C46" s="73">
        <v>78073</v>
      </c>
      <c r="D46" s="14">
        <v>15733.2</v>
      </c>
      <c r="E46" s="14">
        <v>23931</v>
      </c>
      <c r="F46" s="18">
        <v>0</v>
      </c>
      <c r="G46" s="68" t="s">
        <v>829</v>
      </c>
      <c r="H46" s="64">
        <v>0.24</v>
      </c>
      <c r="I46" s="64">
        <v>0.21</v>
      </c>
      <c r="J46" s="64">
        <v>0.19</v>
      </c>
      <c r="K46" s="71">
        <v>0.19635613866064472</v>
      </c>
      <c r="L46" s="65">
        <v>15831.5</v>
      </c>
      <c r="M46" s="65">
        <v>15831.5</v>
      </c>
      <c r="N46" s="13">
        <v>15831.5</v>
      </c>
      <c r="O46" s="13">
        <v>15634.9</v>
      </c>
      <c r="P46" s="30" t="s">
        <v>4</v>
      </c>
      <c r="Q46" s="13">
        <v>15831.5</v>
      </c>
      <c r="R46" s="13">
        <v>15634.9</v>
      </c>
      <c r="S46" s="35">
        <v>15733.2</v>
      </c>
      <c r="T46" s="41"/>
      <c r="U46" s="13">
        <v>25309</v>
      </c>
      <c r="V46" s="13">
        <v>24396</v>
      </c>
      <c r="W46" s="24">
        <v>23931</v>
      </c>
      <c r="X46" s="58" t="str">
        <f>HYPERLINK("https://drinc.ca.gov/DNN/Portals/0/SelfCert/14ba7180-48f5-47a1-bcdd-f9714d9bd615.xlsx","WS1")</f>
        <v>WS1</v>
      </c>
      <c r="Y46" s="10"/>
      <c r="Z46" s="26" t="s">
        <v>31</v>
      </c>
      <c r="AA46" s="32">
        <v>-8197.7999999999993</v>
      </c>
      <c r="AB46" s="33">
        <v>0</v>
      </c>
      <c r="AC46" s="16"/>
      <c r="AD46" s="11"/>
      <c r="AE46" s="65">
        <v>98869.9</v>
      </c>
      <c r="AF46" s="65">
        <v>130487.6</v>
      </c>
      <c r="AG46" s="15">
        <v>0</v>
      </c>
      <c r="AH46" s="37"/>
      <c r="AI46" s="37"/>
      <c r="AJ46" s="10"/>
      <c r="AK46" s="58" t="str">
        <f>HYPERLINK("https://drinc.ca.gov/DNN/Portals/0/SelfCert/09218a00-d91d-43e2-9fde-4dadb9626e54.pdf","Cert")</f>
        <v>Cert</v>
      </c>
      <c r="AL46" s="58" t="str">
        <f>HYPERLINK("https://drinc.ca.gov/DNN/Portals/0/SelfCert/83ef81ac-d9cf-4d3a-a1e0-344b4e2f53a6.docx","Analysis")</f>
        <v>Analysis</v>
      </c>
    </row>
    <row r="47" spans="1:38" s="19" customFormat="1" ht="14.4" customHeight="1" x14ac:dyDescent="0.3">
      <c r="A47" s="12" t="s">
        <v>313</v>
      </c>
      <c r="B47" s="68" t="s">
        <v>35</v>
      </c>
      <c r="C47" s="73">
        <v>33124</v>
      </c>
      <c r="D47" s="14">
        <v>6172.5</v>
      </c>
      <c r="E47" s="14">
        <v>192441</v>
      </c>
      <c r="F47" s="18">
        <v>0</v>
      </c>
      <c r="G47" s="68" t="s">
        <v>776</v>
      </c>
      <c r="H47" s="64">
        <v>0.2</v>
      </c>
      <c r="I47" s="64">
        <v>0.17</v>
      </c>
      <c r="J47" s="64">
        <v>0.2</v>
      </c>
      <c r="K47" s="71">
        <v>0.12800601202404804</v>
      </c>
      <c r="L47" s="65">
        <v>6309</v>
      </c>
      <c r="M47" s="65">
        <v>6309</v>
      </c>
      <c r="N47" s="13">
        <v>6335.8</v>
      </c>
      <c r="O47" s="13">
        <v>6009.1</v>
      </c>
      <c r="P47" s="30" t="s">
        <v>4</v>
      </c>
      <c r="Q47" s="13">
        <v>6335.8</v>
      </c>
      <c r="R47" s="13">
        <v>6009.1</v>
      </c>
      <c r="S47" s="23">
        <v>6172.5</v>
      </c>
      <c r="T47" s="41"/>
      <c r="U47" s="13">
        <v>193954</v>
      </c>
      <c r="V47" s="13">
        <v>193197</v>
      </c>
      <c r="W47" s="24">
        <v>192441</v>
      </c>
      <c r="X47" s="58" t="str">
        <f>HYPERLINK("http://drinc.ca.gov/DNN/Portals/0/SelfCert/8fc2b6b1-4263-46a8-8054-b4e6b02fc466.xlsx","WS1")</f>
        <v>WS1</v>
      </c>
      <c r="Y47" s="10"/>
      <c r="Z47" s="26" t="s">
        <v>13</v>
      </c>
      <c r="AA47" s="13">
        <v>-186268.5</v>
      </c>
      <c r="AB47" s="15">
        <v>0</v>
      </c>
      <c r="AC47" s="30" t="s">
        <v>14</v>
      </c>
      <c r="AD47" s="29"/>
      <c r="AE47" s="32"/>
      <c r="AF47" s="32"/>
      <c r="AG47" s="17"/>
      <c r="AH47" s="27"/>
      <c r="AI47" s="27"/>
      <c r="AJ47" s="11"/>
      <c r="AK47" s="58" t="str">
        <f>HYPERLINK("http://drinc.ca.gov/DNN/Portals/0/SelfCert/21dfb290-c431-432b-b955-edd4f8b266c9.pdf","Cert")</f>
        <v>Cert</v>
      </c>
      <c r="AL47" s="58" t="str">
        <f>HYPERLINK("http://drinc.ca.gov/DNN/Portals/0/SelfCert/f699a19d-c17d-40a5-ad56-a465f1fe8935.xlsx","Analysis")</f>
        <v>Analysis</v>
      </c>
    </row>
    <row r="48" spans="1:38" s="19" customFormat="1" ht="14.4" customHeight="1" x14ac:dyDescent="0.3">
      <c r="A48" s="12" t="s">
        <v>67</v>
      </c>
      <c r="B48" s="68" t="s">
        <v>23</v>
      </c>
      <c r="C48" s="73">
        <v>23920.583333333332</v>
      </c>
      <c r="D48" s="14">
        <v>3006.1</v>
      </c>
      <c r="E48" s="14">
        <v>15060</v>
      </c>
      <c r="F48" s="18">
        <v>0</v>
      </c>
      <c r="G48" s="68" t="s">
        <v>776</v>
      </c>
      <c r="H48" s="64">
        <v>0.16</v>
      </c>
      <c r="I48" s="64">
        <v>0.13</v>
      </c>
      <c r="J48" s="64">
        <v>0.08</v>
      </c>
      <c r="K48" s="71" t="s">
        <v>822</v>
      </c>
      <c r="L48" s="65">
        <v>3040.4</v>
      </c>
      <c r="M48" s="65">
        <v>3040.4</v>
      </c>
      <c r="N48" s="13">
        <v>3040.4</v>
      </c>
      <c r="O48" s="13">
        <v>2971.8</v>
      </c>
      <c r="P48" s="30" t="s">
        <v>4</v>
      </c>
      <c r="Q48" s="13">
        <v>3040.4</v>
      </c>
      <c r="R48" s="13">
        <v>2971.8</v>
      </c>
      <c r="S48" s="34">
        <v>3006.1</v>
      </c>
      <c r="T48" s="41" t="s">
        <v>68</v>
      </c>
      <c r="U48" s="13">
        <v>15060</v>
      </c>
      <c r="V48" s="13">
        <v>15060</v>
      </c>
      <c r="W48" s="24">
        <v>15060</v>
      </c>
      <c r="X48" s="58" t="str">
        <f>HYPERLINK("https://www.drinc.ca.gov/DNN/Portals/0/SelfCert/e247bc22-bc6a-43b0-b952-a1ba8dcf6f1a.xlsx","WS1")</f>
        <v>WS1</v>
      </c>
      <c r="Y48" s="10" t="s">
        <v>69</v>
      </c>
      <c r="Z48" s="26" t="s">
        <v>13</v>
      </c>
      <c r="AA48" s="31">
        <v>-12053.9</v>
      </c>
      <c r="AB48" s="66">
        <v>0</v>
      </c>
      <c r="AC48" s="30" t="s">
        <v>14</v>
      </c>
      <c r="AD48" s="29" t="s">
        <v>70</v>
      </c>
      <c r="AE48" s="32"/>
      <c r="AF48" s="32"/>
      <c r="AG48" s="17"/>
      <c r="AH48" s="36"/>
      <c r="AI48" s="36"/>
      <c r="AJ48" s="11"/>
      <c r="AK48" s="58" t="str">
        <f>HYPERLINK("https://www.drinc.ca.gov/DNN/Portals/0/SelfCert/64234c39-e87c-4c6a-9b4e-b1f4501ba828.pdf","Cert")</f>
        <v>Cert</v>
      </c>
      <c r="AL48" s="58" t="str">
        <f>HYPERLINK("https://www.drinc.ca.gov/DNN/Portals/0/SelfCert/ec85f851-8c59-4200-a5d0-c7f280fd75e0.xlsx","Analysis")</f>
        <v>Analysis</v>
      </c>
    </row>
    <row r="49" spans="1:38" s="19" customFormat="1" ht="14.4" customHeight="1" x14ac:dyDescent="0.3">
      <c r="A49" s="12" t="s">
        <v>667</v>
      </c>
      <c r="B49" s="68" t="s">
        <v>38</v>
      </c>
      <c r="C49" s="73">
        <v>16730</v>
      </c>
      <c r="D49" s="14">
        <v>2362.5</v>
      </c>
      <c r="E49" s="14">
        <v>3936750</v>
      </c>
      <c r="F49" s="18">
        <v>0</v>
      </c>
      <c r="G49" s="68" t="s">
        <v>776</v>
      </c>
      <c r="H49" s="64">
        <v>0.24</v>
      </c>
      <c r="I49" s="64">
        <v>0.24</v>
      </c>
      <c r="J49" s="64">
        <v>0.22</v>
      </c>
      <c r="K49" s="71">
        <v>0.17606509252394542</v>
      </c>
      <c r="L49" s="65">
        <v>2404.6999999999998</v>
      </c>
      <c r="M49" s="65">
        <v>2404.6999999999998</v>
      </c>
      <c r="N49" s="13">
        <v>2471</v>
      </c>
      <c r="O49" s="13">
        <v>2254</v>
      </c>
      <c r="P49" s="30" t="s">
        <v>4</v>
      </c>
      <c r="Q49" s="13">
        <v>2471</v>
      </c>
      <c r="R49" s="13">
        <v>2254</v>
      </c>
      <c r="S49" s="23">
        <v>2362.5</v>
      </c>
      <c r="T49" s="41" t="s">
        <v>668</v>
      </c>
      <c r="U49" s="13">
        <v>4178534</v>
      </c>
      <c r="V49" s="13">
        <v>4090794</v>
      </c>
      <c r="W49" s="24">
        <v>3936750</v>
      </c>
      <c r="X49" s="58" t="str">
        <f>HYPERLINK("http://drinc.ca.gov/DNN/Portals/0/SelfCert/eadb14f1-368c-466b-af35-b0e6351e03d5.xlsx","WS1")</f>
        <v>WS1</v>
      </c>
      <c r="Y49" s="10" t="s">
        <v>668</v>
      </c>
      <c r="Z49" s="26" t="s">
        <v>13</v>
      </c>
      <c r="AA49" s="13">
        <v>-3934387.5</v>
      </c>
      <c r="AB49" s="66">
        <v>0</v>
      </c>
      <c r="AC49" s="30" t="s">
        <v>14</v>
      </c>
      <c r="AD49" s="29"/>
      <c r="AE49" s="32"/>
      <c r="AF49" s="32"/>
      <c r="AG49" s="17"/>
      <c r="AH49" s="27"/>
      <c r="AI49" s="27"/>
      <c r="AJ49" s="11"/>
      <c r="AK49" s="58" t="str">
        <f>HYPERLINK("http://drinc.ca.gov/DNN/Portals/0/SelfCert/c4168794-2435-4ea8-b3c5-716fd36ffef6.pdf","Cert")</f>
        <v>Cert</v>
      </c>
      <c r="AL49" s="58" t="str">
        <f>HYPERLINK("http://drinc.ca.gov/DNN/Portals/0/SelfCert/c7af1296-8e6d-4ad5-b35d-17a30b1c428e.pdf","Analysis")</f>
        <v>Analysis</v>
      </c>
    </row>
    <row r="50" spans="1:38" s="19" customFormat="1" ht="14.4" customHeight="1" x14ac:dyDescent="0.3">
      <c r="A50" s="12" t="s">
        <v>127</v>
      </c>
      <c r="B50" s="68" t="s">
        <v>40</v>
      </c>
      <c r="C50" s="73">
        <v>61299</v>
      </c>
      <c r="D50" s="14">
        <v>9404</v>
      </c>
      <c r="E50" s="14">
        <v>9404</v>
      </c>
      <c r="F50" s="18">
        <v>0</v>
      </c>
      <c r="G50" s="68" t="s">
        <v>776</v>
      </c>
      <c r="H50" s="64">
        <v>0.24</v>
      </c>
      <c r="I50" s="64">
        <v>0.24</v>
      </c>
      <c r="J50" s="64">
        <v>0.31</v>
      </c>
      <c r="K50" s="72">
        <v>-0.41820728291316533</v>
      </c>
      <c r="L50" s="65">
        <v>9986.1</v>
      </c>
      <c r="M50" s="65">
        <v>9986.1</v>
      </c>
      <c r="N50" s="13">
        <v>9982</v>
      </c>
      <c r="O50" s="13">
        <v>8826</v>
      </c>
      <c r="P50" s="30" t="s">
        <v>4</v>
      </c>
      <c r="Q50" s="13">
        <v>9982</v>
      </c>
      <c r="R50" s="13">
        <v>8826</v>
      </c>
      <c r="S50" s="23">
        <v>9404</v>
      </c>
      <c r="T50" s="41"/>
      <c r="U50" s="13">
        <v>9404</v>
      </c>
      <c r="V50" s="13">
        <v>9404</v>
      </c>
      <c r="W50" s="24">
        <v>9404</v>
      </c>
      <c r="X50" s="58" t="str">
        <f>HYPERLINK("https://drinc.ca.gov/DNN/Portals/0/SelfCert/1cc4bf07-f40d-4bef-829e-b782c1f4cda4.xlsx","WS1")</f>
        <v>WS1</v>
      </c>
      <c r="Y50" s="10"/>
      <c r="Z50" s="26" t="s">
        <v>13</v>
      </c>
      <c r="AA50" s="13">
        <v>0</v>
      </c>
      <c r="AB50" s="15">
        <v>0</v>
      </c>
      <c r="AC50" s="30" t="s">
        <v>14</v>
      </c>
      <c r="AD50" s="29"/>
      <c r="AE50" s="32"/>
      <c r="AF50" s="32"/>
      <c r="AG50" s="17"/>
      <c r="AH50" s="27"/>
      <c r="AI50" s="27"/>
      <c r="AJ50" s="11"/>
      <c r="AK50" s="58" t="str">
        <f>HYPERLINK("https://drinc.ca.gov/DNN/Portals/0/SelfCert/389d548a-9ad1-4299-b119-0c35c3b9335e.pdf","Cert")</f>
        <v>Cert</v>
      </c>
      <c r="AL50" s="58" t="str">
        <f>HYPERLINK("https://drinc.ca.gov/DNN/Portals/0/SelfCert/0550d040-1b1d-469d-8e39-350f594900c0.xlsx","Analysis")</f>
        <v>Analysis</v>
      </c>
    </row>
    <row r="51" spans="1:38" s="19" customFormat="1" ht="14.4" customHeight="1" x14ac:dyDescent="0.3">
      <c r="A51" s="12" t="s">
        <v>168</v>
      </c>
      <c r="B51" s="68" t="s">
        <v>40</v>
      </c>
      <c r="C51" s="73">
        <v>188700</v>
      </c>
      <c r="D51" s="14">
        <v>26111.5</v>
      </c>
      <c r="E51" s="14">
        <v>37478</v>
      </c>
      <c r="F51" s="18">
        <v>0</v>
      </c>
      <c r="G51" s="68" t="s">
        <v>776</v>
      </c>
      <c r="H51" s="64">
        <v>0.2</v>
      </c>
      <c r="I51" s="64">
        <v>0.2</v>
      </c>
      <c r="J51" s="64">
        <v>0.21</v>
      </c>
      <c r="K51" s="71">
        <v>0.13594803967545965</v>
      </c>
      <c r="L51" s="65">
        <v>28023</v>
      </c>
      <c r="M51" s="65">
        <v>28023</v>
      </c>
      <c r="N51" s="13">
        <v>28023</v>
      </c>
      <c r="O51" s="13">
        <v>24200</v>
      </c>
      <c r="P51" s="30" t="s">
        <v>4</v>
      </c>
      <c r="Q51" s="13">
        <v>28023</v>
      </c>
      <c r="R51" s="13">
        <v>24200</v>
      </c>
      <c r="S51" s="23">
        <v>26111.5</v>
      </c>
      <c r="T51" s="41"/>
      <c r="U51" s="13">
        <v>51855</v>
      </c>
      <c r="V51" s="13">
        <v>46359</v>
      </c>
      <c r="W51" s="24">
        <v>37478</v>
      </c>
      <c r="X51" s="58" t="str">
        <f>HYPERLINK("https://drinc.ca.gov/DNN/Portals/0/SelfCert/ea4e9922-57bb-40e6-907a-983a3b6dd651.xlsx","WS1")</f>
        <v>WS1</v>
      </c>
      <c r="Y51" s="10"/>
      <c r="Z51" s="26" t="s">
        <v>13</v>
      </c>
      <c r="AA51" s="13">
        <v>-11366.5</v>
      </c>
      <c r="AB51" s="66">
        <v>0</v>
      </c>
      <c r="AC51" s="30" t="s">
        <v>14</v>
      </c>
      <c r="AD51" s="29" t="s">
        <v>169</v>
      </c>
      <c r="AE51" s="32"/>
      <c r="AF51" s="32"/>
      <c r="AG51" s="17"/>
      <c r="AH51" s="27"/>
      <c r="AI51" s="27"/>
      <c r="AJ51" s="11"/>
      <c r="AK51" s="58" t="str">
        <f>HYPERLINK("https://drinc.ca.gov/DNN/Portals/0/SelfCert/0cd748fd-3a57-4517-aabc-3b30b743c4a8.pdf","Cert")</f>
        <v>Cert</v>
      </c>
      <c r="AL51" s="58" t="str">
        <f>HYPERLINK("https://drinc.ca.gov/DNN/Portals/0/SelfCert/76cdd538-87f5-4d5e-849e-ecf4ad6e0914.xlsx","Analysis")</f>
        <v>Analysis</v>
      </c>
    </row>
    <row r="52" spans="1:38" s="19" customFormat="1" ht="14.4" customHeight="1" x14ac:dyDescent="0.3">
      <c r="A52" s="12" t="s">
        <v>694</v>
      </c>
      <c r="B52" s="68" t="s">
        <v>46</v>
      </c>
      <c r="C52" s="73">
        <v>19120.583333333332</v>
      </c>
      <c r="D52" s="14">
        <v>5361.3</v>
      </c>
      <c r="E52" s="14">
        <v>5600</v>
      </c>
      <c r="F52" s="18">
        <v>0</v>
      </c>
      <c r="G52" s="68" t="s">
        <v>776</v>
      </c>
      <c r="H52" s="64">
        <v>0.36</v>
      </c>
      <c r="I52" s="64">
        <v>0.32</v>
      </c>
      <c r="J52" s="64">
        <v>0.25</v>
      </c>
      <c r="K52" s="71">
        <v>0.18181818181818177</v>
      </c>
      <c r="L52" s="65">
        <v>5551.6</v>
      </c>
      <c r="M52" s="65">
        <v>5551.6</v>
      </c>
      <c r="N52" s="13">
        <v>1808</v>
      </c>
      <c r="O52" s="13">
        <v>1686</v>
      </c>
      <c r="P52" s="30" t="s">
        <v>5</v>
      </c>
      <c r="Q52" s="13">
        <v>5548.5</v>
      </c>
      <c r="R52" s="13">
        <v>5174.1000000000004</v>
      </c>
      <c r="S52" s="23">
        <v>5361.3</v>
      </c>
      <c r="T52" s="41"/>
      <c r="U52" s="13">
        <v>5383</v>
      </c>
      <c r="V52" s="13">
        <v>5490</v>
      </c>
      <c r="W52" s="24">
        <v>5600</v>
      </c>
      <c r="X52" s="58" t="str">
        <f>HYPERLINK("http://drinc.ca.gov/DNN/Portals/0/SelfCert/f63f3d4a-b326-4565-8f68-71a46e100b4a.xlsx","WS1")</f>
        <v>WS1</v>
      </c>
      <c r="Y52" s="10"/>
      <c r="Z52" s="26" t="s">
        <v>13</v>
      </c>
      <c r="AA52" s="13">
        <v>-238.7</v>
      </c>
      <c r="AB52" s="66">
        <v>0</v>
      </c>
      <c r="AC52" s="30" t="s">
        <v>18</v>
      </c>
      <c r="AD52" s="29"/>
      <c r="AE52" s="32">
        <v>5217</v>
      </c>
      <c r="AF52" s="32">
        <v>5524</v>
      </c>
      <c r="AG52" s="17"/>
      <c r="AH52" s="27" t="str">
        <f>HYPERLINK("http://drinc.ca.gov/DNN/Portals/0/SelfCert/63d3fc3d-e807-43bc-b797-53b0328b44f9.xlsx","WS2")</f>
        <v>WS2</v>
      </c>
      <c r="AI52" s="27"/>
      <c r="AJ52" s="11"/>
      <c r="AK52" s="58" t="str">
        <f>HYPERLINK("http://drinc.ca.gov/DNN/Portals/0/SelfCert/e4a5e3d3-ecce-4035-bffb-2f5a7de78814.pdf","Cert")</f>
        <v>Cert</v>
      </c>
      <c r="AL52" s="58" t="str">
        <f>HYPERLINK("http://drinc.ca.gov/DNN/Portals/0/SelfCert/e4bad2b5-f823-44e0-a16a-b66d5112e748.pdf","Analysis")</f>
        <v>Analysis</v>
      </c>
    </row>
    <row r="53" spans="1:38" s="19" customFormat="1" ht="14.4" customHeight="1" x14ac:dyDescent="0.3">
      <c r="A53" s="12" t="s">
        <v>162</v>
      </c>
      <c r="B53" s="68" t="s">
        <v>58</v>
      </c>
      <c r="C53" s="73">
        <v>27610.666666666668</v>
      </c>
      <c r="D53" s="14">
        <v>3614</v>
      </c>
      <c r="E53" s="14">
        <v>3614</v>
      </c>
      <c r="F53" s="18">
        <v>0</v>
      </c>
      <c r="G53" s="68" t="s">
        <v>776</v>
      </c>
      <c r="H53" s="64">
        <v>0.16</v>
      </c>
      <c r="I53" s="64">
        <v>0.16</v>
      </c>
      <c r="J53" s="64">
        <v>0.25</v>
      </c>
      <c r="K53" s="71">
        <v>0.17916723370108456</v>
      </c>
      <c r="L53" s="65">
        <v>3907.1</v>
      </c>
      <c r="M53" s="65">
        <v>3907.1</v>
      </c>
      <c r="N53" s="13">
        <v>3907</v>
      </c>
      <c r="O53" s="13">
        <v>3321</v>
      </c>
      <c r="P53" s="30" t="s">
        <v>4</v>
      </c>
      <c r="Q53" s="13">
        <v>3907</v>
      </c>
      <c r="R53" s="13">
        <v>3321</v>
      </c>
      <c r="S53" s="23">
        <v>3614</v>
      </c>
      <c r="T53" s="41"/>
      <c r="U53" s="13">
        <v>3614</v>
      </c>
      <c r="V53" s="13">
        <v>3614</v>
      </c>
      <c r="W53" s="24">
        <v>3614</v>
      </c>
      <c r="X53" s="58" t="str">
        <f>HYPERLINK("http://drinc.ca.gov/DNN/Portals/0/SelfCert/125ff482-8492-44a4-a397-bc35f024b4dc.xlsx","WS1")</f>
        <v>WS1</v>
      </c>
      <c r="Y53" s="10"/>
      <c r="Z53" s="26" t="s">
        <v>13</v>
      </c>
      <c r="AA53" s="13">
        <v>0</v>
      </c>
      <c r="AB53" s="15">
        <v>0</v>
      </c>
      <c r="AC53" s="30" t="s">
        <v>14</v>
      </c>
      <c r="AD53" s="29"/>
      <c r="AE53" s="32"/>
      <c r="AF53" s="32"/>
      <c r="AG53" s="17"/>
      <c r="AH53" s="27"/>
      <c r="AI53" s="27"/>
      <c r="AJ53" s="11"/>
      <c r="AK53" s="58" t="str">
        <f>HYPERLINK("http://drinc.ca.gov/DNN/Portals/0/SelfCert/eb04af90-5044-42ae-86ca-4eee1f585c26.pdf","Cert")</f>
        <v>Cert</v>
      </c>
      <c r="AL53" s="58" t="str">
        <f>HYPERLINK("http://drinc.ca.gov/DNN/Portals/0/SelfCert/1600bd43-137c-4d3e-acb7-3b6606a97819.xlsx","Analysis")</f>
        <v>Analysis</v>
      </c>
    </row>
    <row r="54" spans="1:38" s="19" customFormat="1" ht="14.4" customHeight="1" x14ac:dyDescent="0.3">
      <c r="A54" s="12" t="s">
        <v>155</v>
      </c>
      <c r="B54" s="68" t="s">
        <v>11</v>
      </c>
      <c r="C54" s="73">
        <v>31120</v>
      </c>
      <c r="D54" s="14">
        <v>24778.5</v>
      </c>
      <c r="E54" s="14">
        <v>2489435.6</v>
      </c>
      <c r="F54" s="18">
        <v>0</v>
      </c>
      <c r="G54" s="68" t="s">
        <v>776</v>
      </c>
      <c r="H54" s="64">
        <v>0.36</v>
      </c>
      <c r="I54" s="64">
        <v>0.32</v>
      </c>
      <c r="J54" s="64">
        <v>0.24</v>
      </c>
      <c r="K54" s="71">
        <v>0.28175597513871731</v>
      </c>
      <c r="L54" s="65">
        <v>7512.1</v>
      </c>
      <c r="M54" s="65">
        <v>7512.1</v>
      </c>
      <c r="N54" s="13">
        <v>25749</v>
      </c>
      <c r="O54" s="13">
        <v>23808</v>
      </c>
      <c r="P54" s="30" t="s">
        <v>4</v>
      </c>
      <c r="Q54" s="13">
        <v>25749</v>
      </c>
      <c r="R54" s="13">
        <v>23808</v>
      </c>
      <c r="S54" s="34">
        <v>24778.5</v>
      </c>
      <c r="T54" s="41" t="s">
        <v>156</v>
      </c>
      <c r="U54" s="13">
        <v>2529405.2000000002</v>
      </c>
      <c r="V54" s="13">
        <v>2509420.4</v>
      </c>
      <c r="W54" s="24">
        <v>2489435.6</v>
      </c>
      <c r="X54" s="58" t="str">
        <f>HYPERLINK("http://drinc.ca.gov/DNN/Portals/0/SelfCert/d5da8a47-2875-4228-bbe5-302b6a96c23d.xlsx","WS1")</f>
        <v>WS1</v>
      </c>
      <c r="Y54" s="10" t="s">
        <v>771</v>
      </c>
      <c r="Z54" s="26" t="s">
        <v>13</v>
      </c>
      <c r="AA54" s="31">
        <v>-2464657.1</v>
      </c>
      <c r="AB54" s="66">
        <v>0</v>
      </c>
      <c r="AC54" s="30" t="s">
        <v>18</v>
      </c>
      <c r="AD54" s="29" t="s">
        <v>157</v>
      </c>
      <c r="AE54" s="32"/>
      <c r="AF54" s="32"/>
      <c r="AG54" s="17"/>
      <c r="AH54" s="36"/>
      <c r="AI54" s="36"/>
      <c r="AJ54" s="11"/>
      <c r="AK54" s="58" t="str">
        <f>HYPERLINK("http://drinc.ca.gov/DNN/Portals/0/SelfCert/5424d4cd-b703-42bd-ad97-0aab8677da09.pdf","Cert")</f>
        <v>Cert</v>
      </c>
      <c r="AL54" s="58" t="str">
        <f>HYPERLINK("http://drinc.ca.gov/DNN/Portals/0/SelfCert/d5ead5f3-c201-4d2b-9f52-62af4aae2cbe.xls","Analysis")</f>
        <v>Analysis</v>
      </c>
    </row>
    <row r="55" spans="1:38" s="19" customFormat="1" ht="14.4" customHeight="1" x14ac:dyDescent="0.3">
      <c r="A55" s="12" t="s">
        <v>547</v>
      </c>
      <c r="B55" s="68" t="s">
        <v>40</v>
      </c>
      <c r="C55" s="73">
        <v>846601</v>
      </c>
      <c r="D55" s="14">
        <v>80809.8</v>
      </c>
      <c r="E55" s="14">
        <v>80809.8</v>
      </c>
      <c r="F55" s="18">
        <v>0</v>
      </c>
      <c r="G55" s="68" t="s">
        <v>776</v>
      </c>
      <c r="H55" s="64">
        <v>0.08</v>
      </c>
      <c r="I55" s="64">
        <v>0.08</v>
      </c>
      <c r="J55" s="64">
        <v>0.14000000000000001</v>
      </c>
      <c r="K55" s="71">
        <v>0.12452879991421484</v>
      </c>
      <c r="L55" s="65">
        <v>84175.1</v>
      </c>
      <c r="M55" s="65">
        <v>84175.1</v>
      </c>
      <c r="N55" s="13">
        <v>27429</v>
      </c>
      <c r="O55" s="13">
        <v>25235</v>
      </c>
      <c r="P55" s="30" t="s">
        <v>5</v>
      </c>
      <c r="Q55" s="13">
        <v>84176.4</v>
      </c>
      <c r="R55" s="13">
        <v>77443.3</v>
      </c>
      <c r="S55" s="23">
        <v>80809.8</v>
      </c>
      <c r="T55" s="41"/>
      <c r="U55" s="13">
        <v>80809.827000000005</v>
      </c>
      <c r="V55" s="13">
        <v>80809.8</v>
      </c>
      <c r="W55" s="24">
        <v>80809.8</v>
      </c>
      <c r="X55" s="58" t="str">
        <f>HYPERLINK("https://drinc.ca.gov/DNN/Portals/0/SelfCert/efa967ba-365e-453a-a449-05d61dd8107d.xlsx","WS1")</f>
        <v>WS1</v>
      </c>
      <c r="Y55" s="10"/>
      <c r="Z55" s="26" t="s">
        <v>13</v>
      </c>
      <c r="AA55" s="13">
        <v>0</v>
      </c>
      <c r="AB55" s="15">
        <v>0</v>
      </c>
      <c r="AC55" s="30" t="s">
        <v>18</v>
      </c>
      <c r="AD55" s="29" t="s">
        <v>548</v>
      </c>
      <c r="AE55" s="32"/>
      <c r="AF55" s="32"/>
      <c r="AG55" s="17"/>
      <c r="AH55" s="27"/>
      <c r="AI55" s="27"/>
      <c r="AJ55" s="11"/>
      <c r="AK55" s="58" t="str">
        <f>HYPERLINK("https://drinc.ca.gov/DNN/Portals/0/SelfCert/0360e5d8-faa1-42b5-87fb-c15611834ae7.pdf","Cert")</f>
        <v>Cert</v>
      </c>
      <c r="AL55" s="58" t="str">
        <f>HYPERLINK("https://drinc.ca.gov/DNN/Portals/0/SelfCert/85cf34f9-3366-4929-959c-a0eea795f3fe.docx","Analysis")</f>
        <v>Analysis</v>
      </c>
    </row>
    <row r="56" spans="1:38" s="19" customFormat="1" ht="14.4" customHeight="1" x14ac:dyDescent="0.3">
      <c r="A56" s="12" t="s">
        <v>724</v>
      </c>
      <c r="B56" s="68" t="s">
        <v>23</v>
      </c>
      <c r="C56" s="73">
        <v>27743</v>
      </c>
      <c r="D56" s="14">
        <v>7756.4</v>
      </c>
      <c r="E56" s="14">
        <v>8151</v>
      </c>
      <c r="F56" s="18">
        <v>0</v>
      </c>
      <c r="G56" s="68" t="s">
        <v>798</v>
      </c>
      <c r="H56" s="64">
        <v>0.32</v>
      </c>
      <c r="I56" s="64">
        <v>0.24</v>
      </c>
      <c r="J56" s="64">
        <v>0.42</v>
      </c>
      <c r="K56" s="71">
        <v>0.34053625585883651</v>
      </c>
      <c r="L56" s="65">
        <v>8549</v>
      </c>
      <c r="M56" s="65">
        <v>8549</v>
      </c>
      <c r="N56" s="13">
        <v>2764.8</v>
      </c>
      <c r="O56" s="13">
        <v>2290.1</v>
      </c>
      <c r="P56" s="30" t="s">
        <v>5</v>
      </c>
      <c r="Q56" s="13">
        <v>8484.7999999999993</v>
      </c>
      <c r="R56" s="13">
        <v>7028</v>
      </c>
      <c r="S56" s="23">
        <v>7756.4</v>
      </c>
      <c r="T56" s="41"/>
      <c r="U56" s="13">
        <v>10950</v>
      </c>
      <c r="V56" s="13">
        <v>10950</v>
      </c>
      <c r="W56" s="24">
        <v>10950</v>
      </c>
      <c r="X56" s="58" t="str">
        <f>HYPERLINK("http://www.drinc.ca.gov/DNN/Portals/0/SelfCert/cd896386-21b2-4a4f-8b87-5d4bb0f3d6de.xlsx","WS1")</f>
        <v>WS1</v>
      </c>
      <c r="Y56" s="10" t="s">
        <v>725</v>
      </c>
      <c r="Z56" s="26" t="s">
        <v>13</v>
      </c>
      <c r="AA56" s="13">
        <v>-3193.6</v>
      </c>
      <c r="AB56" s="66">
        <v>0</v>
      </c>
      <c r="AC56" s="30" t="s">
        <v>14</v>
      </c>
      <c r="AD56" s="29" t="s">
        <v>726</v>
      </c>
      <c r="AE56" s="32"/>
      <c r="AF56" s="32"/>
      <c r="AG56" s="17"/>
      <c r="AH56" s="27" t="str">
        <f>HYPERLINK("http://www.drinc.ca.gov/DNN/Portals/0/SelfCert/599f3c90-0803-4ec3-a69b-9dad9a221325.xlsx","WS2")</f>
        <v>WS2</v>
      </c>
      <c r="AI56" s="27"/>
      <c r="AJ56" s="11"/>
      <c r="AK56" s="58" t="str">
        <f>HYPERLINK("http://www.drinc.ca.gov/DNN/Portals/0/SelfCert/92e1f2c9-0f11-431d-b42a-13a76dd0513a.pdf","Cert")</f>
        <v>Cert</v>
      </c>
      <c r="AL56" s="58" t="str">
        <f>HYPERLINK("http://www.drinc.ca.gov/DNN/Portals/0/SelfCert/9d79c11f-0026-4540-9d02-2e318fe9ce8b.xlsx","Analysis")</f>
        <v>Analysis</v>
      </c>
    </row>
    <row r="57" spans="1:38" s="19" customFormat="1" ht="14.4" customHeight="1" x14ac:dyDescent="0.3">
      <c r="A57" s="12" t="s">
        <v>255</v>
      </c>
      <c r="B57" s="68" t="s">
        <v>16</v>
      </c>
      <c r="C57" s="73">
        <v>168617.75</v>
      </c>
      <c r="D57" s="14">
        <v>35809</v>
      </c>
      <c r="E57" s="14">
        <v>55993.2</v>
      </c>
      <c r="F57" s="18">
        <v>0</v>
      </c>
      <c r="G57" s="68" t="s">
        <v>829</v>
      </c>
      <c r="H57" s="64">
        <v>0.24</v>
      </c>
      <c r="I57" s="64">
        <v>0.2</v>
      </c>
      <c r="J57" s="64">
        <v>0.21</v>
      </c>
      <c r="K57" s="71">
        <v>0.1731763354394027</v>
      </c>
      <c r="L57" s="65">
        <v>35731</v>
      </c>
      <c r="M57" s="65">
        <v>35731</v>
      </c>
      <c r="N57" s="13">
        <v>35921</v>
      </c>
      <c r="O57" s="13">
        <v>35697</v>
      </c>
      <c r="P57" s="30" t="s">
        <v>4</v>
      </c>
      <c r="Q57" s="13">
        <v>35921</v>
      </c>
      <c r="R57" s="13">
        <v>35697</v>
      </c>
      <c r="S57" s="35">
        <v>35809</v>
      </c>
      <c r="T57" s="41"/>
      <c r="U57" s="13">
        <v>59598.5</v>
      </c>
      <c r="V57" s="13">
        <v>58035.9</v>
      </c>
      <c r="W57" s="24">
        <v>55993.2</v>
      </c>
      <c r="X57" s="58" t="str">
        <f>HYPERLINK("https://drinc.ca.gov/DNN/Portals/0/SelfCert/9c2b2612-d687-457b-89ef-c363d3a1176d.xlsx","WS1")</f>
        <v>WS1</v>
      </c>
      <c r="Y57" s="10"/>
      <c r="Z57" s="26" t="s">
        <v>31</v>
      </c>
      <c r="AA57" s="32">
        <v>-20184.2</v>
      </c>
      <c r="AB57" s="67">
        <v>0</v>
      </c>
      <c r="AC57" s="16"/>
      <c r="AD57" s="11"/>
      <c r="AE57" s="65">
        <v>98870</v>
      </c>
      <c r="AF57" s="65">
        <v>130488</v>
      </c>
      <c r="AG57" s="15">
        <v>0</v>
      </c>
      <c r="AH57" s="37"/>
      <c r="AI57" s="37"/>
      <c r="AJ57" s="10"/>
      <c r="AK57" s="58" t="str">
        <f>HYPERLINK("https://drinc.ca.gov/DNN/Portals/0/SelfCert/4b8c603e-4272-481d-beef-25df993f41bf.pdf","Cert")</f>
        <v>Cert</v>
      </c>
      <c r="AL57" s="58" t="str">
        <f>HYPERLINK("https://drinc.ca.gov/DNN/Portals/0/SelfCert/62745677-731b-4c6f-a339-8180c49c05a8.docx","Analysis")</f>
        <v>Analysis</v>
      </c>
    </row>
    <row r="58" spans="1:38" s="19" customFormat="1" ht="14.4" customHeight="1" x14ac:dyDescent="0.3">
      <c r="A58" s="12" t="s">
        <v>55</v>
      </c>
      <c r="B58" s="68" t="s">
        <v>16</v>
      </c>
      <c r="C58" s="73">
        <v>196041</v>
      </c>
      <c r="D58" s="14">
        <v>30305.5</v>
      </c>
      <c r="E58" s="14">
        <v>31118</v>
      </c>
      <c r="F58" s="18">
        <v>0</v>
      </c>
      <c r="G58" s="68" t="s">
        <v>776</v>
      </c>
      <c r="H58" s="64">
        <v>0.2</v>
      </c>
      <c r="I58" s="64">
        <v>0.13</v>
      </c>
      <c r="J58" s="64">
        <v>0.2</v>
      </c>
      <c r="K58" s="71">
        <v>0.19300466355762835</v>
      </c>
      <c r="L58" s="65">
        <v>30698.5</v>
      </c>
      <c r="M58" s="65">
        <v>30698.5</v>
      </c>
      <c r="N58" s="13">
        <v>30690</v>
      </c>
      <c r="O58" s="13">
        <v>29921</v>
      </c>
      <c r="P58" s="30" t="s">
        <v>4</v>
      </c>
      <c r="Q58" s="13">
        <v>30690</v>
      </c>
      <c r="R58" s="13">
        <v>29921</v>
      </c>
      <c r="S58" s="23">
        <v>30305.5</v>
      </c>
      <c r="T58" s="41"/>
      <c r="U58" s="13">
        <v>31107</v>
      </c>
      <c r="V58" s="13">
        <v>31123</v>
      </c>
      <c r="W58" s="24">
        <v>31118</v>
      </c>
      <c r="X58" s="58" t="str">
        <f>HYPERLINK("http://drinc.ca.gov/DNN/Portals/0/SelfCert/adafe4ba-2103-4ce6-8c91-4b53a3e79c6a.xlsx","WS1")</f>
        <v>WS1</v>
      </c>
      <c r="Y58" s="10"/>
      <c r="Z58" s="26" t="s">
        <v>13</v>
      </c>
      <c r="AA58" s="13">
        <v>-812.5</v>
      </c>
      <c r="AB58" s="66">
        <v>0</v>
      </c>
      <c r="AC58" s="30"/>
      <c r="AD58" s="29"/>
      <c r="AE58" s="32"/>
      <c r="AF58" s="32"/>
      <c r="AG58" s="17"/>
      <c r="AH58" s="27"/>
      <c r="AI58" s="27"/>
      <c r="AJ58" s="11"/>
      <c r="AK58" s="58" t="str">
        <f>HYPERLINK("http://drinc.ca.gov/DNN/Portals/0/SelfCert/d4d0416c-54a0-4531-b8c9-14c8494db920.pdf","Cert")</f>
        <v>Cert</v>
      </c>
      <c r="AL58" s="58" t="str">
        <f>HYPERLINK("http://drinc.ca.gov/DNN/Portals/0/SelfCert/f0ce899d-fbb8-4fd7-9e92-a2b815257128.xlsx","Analysis")</f>
        <v>Analysis</v>
      </c>
    </row>
    <row r="59" spans="1:38" s="19" customFormat="1" ht="14.4" customHeight="1" x14ac:dyDescent="0.3">
      <c r="A59" s="12" t="s">
        <v>418</v>
      </c>
      <c r="B59" s="68" t="s">
        <v>27</v>
      </c>
      <c r="C59" s="73">
        <v>37376.666666666664</v>
      </c>
      <c r="D59" s="14">
        <v>5259.2</v>
      </c>
      <c r="E59" s="14">
        <v>22222</v>
      </c>
      <c r="F59" s="18">
        <v>0</v>
      </c>
      <c r="G59" s="68" t="s">
        <v>776</v>
      </c>
      <c r="H59" s="64">
        <v>0.16</v>
      </c>
      <c r="I59" s="64">
        <v>0.13</v>
      </c>
      <c r="J59" s="64">
        <v>0.28000000000000003</v>
      </c>
      <c r="K59" s="71">
        <v>0.21546499380993733</v>
      </c>
      <c r="L59" s="65">
        <v>5800.2</v>
      </c>
      <c r="M59" s="65">
        <v>5800.2</v>
      </c>
      <c r="N59" s="13">
        <v>1890.9</v>
      </c>
      <c r="O59" s="13">
        <v>1536.6</v>
      </c>
      <c r="P59" s="30" t="s">
        <v>5</v>
      </c>
      <c r="Q59" s="13">
        <v>5802.9</v>
      </c>
      <c r="R59" s="13">
        <v>4715.6000000000004</v>
      </c>
      <c r="S59" s="23">
        <v>5259.2</v>
      </c>
      <c r="T59" s="41" t="s">
        <v>419</v>
      </c>
      <c r="U59" s="13">
        <v>47600</v>
      </c>
      <c r="V59" s="13">
        <v>24011</v>
      </c>
      <c r="W59" s="24">
        <v>22222</v>
      </c>
      <c r="X59" s="58" t="str">
        <f>HYPERLINK("http://www.drinc.ca.gov/DNN/Portals/0/SelfCert/6c197e41-7f5c-4cac-a56f-934db059521b.xlsx","WS1")</f>
        <v>WS1</v>
      </c>
      <c r="Y59" s="10"/>
      <c r="Z59" s="26" t="s">
        <v>13</v>
      </c>
      <c r="AA59" s="13">
        <v>-16962.8</v>
      </c>
      <c r="AB59" s="66">
        <v>0</v>
      </c>
      <c r="AC59" s="30" t="s">
        <v>14</v>
      </c>
      <c r="AD59" s="29" t="s">
        <v>745</v>
      </c>
      <c r="AE59" s="32"/>
      <c r="AF59" s="32"/>
      <c r="AG59" s="17"/>
      <c r="AH59" s="27"/>
      <c r="AI59" s="27"/>
      <c r="AJ59" s="11"/>
      <c r="AK59" s="58" t="str">
        <f>HYPERLINK("http://www.drinc.ca.gov/DNN/Portals/0/SelfCert/b5ff453f-a9cc-4f15-ac39-630d8023ba99.pdf","Cert")</f>
        <v>Cert</v>
      </c>
      <c r="AL59" s="58" t="str">
        <f>HYPERLINK("http://www.drinc.ca.gov/DNN/Portals/0/SelfCert/f48b17bf-13be-4c99-9767-32dc4f4f8db5.docx","Analysis")</f>
        <v>Analysis</v>
      </c>
    </row>
    <row r="60" spans="1:38" s="19" customFormat="1" ht="14.4" customHeight="1" x14ac:dyDescent="0.3">
      <c r="A60" s="12" t="s">
        <v>226</v>
      </c>
      <c r="B60" s="68" t="s">
        <v>58</v>
      </c>
      <c r="C60" s="73">
        <v>527</v>
      </c>
      <c r="D60" s="14">
        <v>568.5</v>
      </c>
      <c r="E60" s="14">
        <v>1357</v>
      </c>
      <c r="F60" s="18">
        <v>0</v>
      </c>
      <c r="G60" s="68" t="s">
        <v>776</v>
      </c>
      <c r="H60" s="64">
        <v>0.04</v>
      </c>
      <c r="I60" s="64">
        <v>0.04</v>
      </c>
      <c r="J60" s="64">
        <v>0.12</v>
      </c>
      <c r="K60" s="72">
        <v>-6.7513368983957323E-2</v>
      </c>
      <c r="L60" s="65">
        <v>554.5</v>
      </c>
      <c r="M60" s="65">
        <v>554.5</v>
      </c>
      <c r="N60" s="13">
        <v>554</v>
      </c>
      <c r="O60" s="13">
        <v>583</v>
      </c>
      <c r="P60" s="30" t="s">
        <v>4</v>
      </c>
      <c r="Q60" s="13">
        <v>554</v>
      </c>
      <c r="R60" s="13">
        <v>583</v>
      </c>
      <c r="S60" s="23">
        <v>568.5</v>
      </c>
      <c r="T60" s="41"/>
      <c r="U60" s="13">
        <v>1357</v>
      </c>
      <c r="V60" s="13">
        <v>1357</v>
      </c>
      <c r="W60" s="24">
        <v>1357</v>
      </c>
      <c r="X60" s="58" t="str">
        <f>HYPERLINK("https://drinc.ca.gov/DNN/Portals/0/SelfCert/ce5f72eb-2799-42cb-8de0-aaacc2aed43a.xlsx","WS1")</f>
        <v>WS1</v>
      </c>
      <c r="Y60" s="10"/>
      <c r="Z60" s="26" t="s">
        <v>13</v>
      </c>
      <c r="AA60" s="13">
        <v>-788.5</v>
      </c>
      <c r="AB60" s="66">
        <v>0</v>
      </c>
      <c r="AC60" s="30" t="s">
        <v>14</v>
      </c>
      <c r="AD60" s="29"/>
      <c r="AE60" s="32"/>
      <c r="AF60" s="32"/>
      <c r="AG60" s="17"/>
      <c r="AH60" s="27"/>
      <c r="AI60" s="27"/>
      <c r="AJ60" s="11"/>
      <c r="AK60" s="58" t="str">
        <f>HYPERLINK("https://drinc.ca.gov/DNN/Portals/0/SelfCert/cddcf463-3760-40ec-ad45-73fe8c0b257f.pdf","Cert")</f>
        <v>Cert</v>
      </c>
      <c r="AL60" s="58" t="str">
        <f>HYPERLINK("https://drinc.ca.gov/DNN/Portals/0/SelfCert/bf5fe246-c24c-49db-bba0-95dde2106b9f.docx","Analysis")</f>
        <v>Analysis</v>
      </c>
    </row>
    <row r="61" spans="1:38" s="19" customFormat="1" ht="14.4" customHeight="1" x14ac:dyDescent="0.3">
      <c r="A61" s="12" t="s">
        <v>478</v>
      </c>
      <c r="B61" s="68" t="s">
        <v>38</v>
      </c>
      <c r="C61" s="73">
        <v>102087</v>
      </c>
      <c r="D61" s="14">
        <v>14376</v>
      </c>
      <c r="E61" s="14">
        <v>15379</v>
      </c>
      <c r="F61" s="18">
        <v>0</v>
      </c>
      <c r="G61" s="69" t="s">
        <v>831</v>
      </c>
      <c r="H61" s="64">
        <v>0.16</v>
      </c>
      <c r="I61" s="64">
        <v>0.16</v>
      </c>
      <c r="J61" s="64">
        <v>0.17</v>
      </c>
      <c r="K61" s="71">
        <v>0.19490909090909103</v>
      </c>
      <c r="L61" s="65">
        <v>13769</v>
      </c>
      <c r="M61" s="65">
        <v>13769</v>
      </c>
      <c r="N61" s="13">
        <v>14636</v>
      </c>
      <c r="O61" s="13">
        <v>14116</v>
      </c>
      <c r="P61" s="30" t="s">
        <v>4</v>
      </c>
      <c r="Q61" s="13">
        <v>14636</v>
      </c>
      <c r="R61" s="13">
        <v>14116</v>
      </c>
      <c r="S61" s="23">
        <v>14376</v>
      </c>
      <c r="T61" s="41" t="s">
        <v>479</v>
      </c>
      <c r="U61" s="13">
        <v>16311</v>
      </c>
      <c r="V61" s="13">
        <v>15026</v>
      </c>
      <c r="W61" s="24">
        <v>15379</v>
      </c>
      <c r="X61" s="58" t="str">
        <f>HYPERLINK("http://drinc.ca.gov/DNN/Portals/0/SelfCert/ef59a1f2-31ea-4b0e-916f-f8a8bff941a8.xlsx","WS1")</f>
        <v>WS1</v>
      </c>
      <c r="Y61" s="10"/>
      <c r="Z61" s="26" t="s">
        <v>13</v>
      </c>
      <c r="AA61" s="13">
        <v>-1003</v>
      </c>
      <c r="AB61" s="66">
        <v>0</v>
      </c>
      <c r="AC61" s="30" t="s">
        <v>14</v>
      </c>
      <c r="AD61" s="29"/>
      <c r="AE61" s="32"/>
      <c r="AF61" s="32"/>
      <c r="AG61" s="17"/>
      <c r="AH61" s="27"/>
      <c r="AI61" s="27"/>
      <c r="AJ61" s="11"/>
      <c r="AK61" s="58" t="str">
        <f>HYPERLINK("http://drinc.ca.gov/DNN/Portals/0/SelfCert/3e1b56ad-4466-4c4b-9f31-35c48af5ab1a.pdf","Cert")</f>
        <v>Cert</v>
      </c>
      <c r="AL61" s="56" t="str">
        <f>HYPERLINK("http://drinc.ca.gov/DNN/Portals/0/SelfCert/5ee2718f-c357-4146-9a38-60a752b062e6.pdf","Analysis")</f>
        <v>Analysis</v>
      </c>
    </row>
    <row r="62" spans="1:38" s="19" customFormat="1" ht="14.4" customHeight="1" x14ac:dyDescent="0.3">
      <c r="A62" s="12" t="s">
        <v>71</v>
      </c>
      <c r="B62" s="68" t="s">
        <v>50</v>
      </c>
      <c r="C62" s="73">
        <v>68379</v>
      </c>
      <c r="D62" s="14">
        <v>15979.7</v>
      </c>
      <c r="E62" s="14">
        <v>13576</v>
      </c>
      <c r="F62" s="18">
        <v>0.15</v>
      </c>
      <c r="G62" s="68" t="s">
        <v>776</v>
      </c>
      <c r="H62" s="64">
        <v>0.32</v>
      </c>
      <c r="I62" s="64">
        <v>0.28000000000000003</v>
      </c>
      <c r="J62" s="64">
        <v>0.27</v>
      </c>
      <c r="K62" s="71">
        <v>0.25999436496258965</v>
      </c>
      <c r="L62" s="65">
        <v>17142.599999999999</v>
      </c>
      <c r="M62" s="65">
        <v>17142.599999999999</v>
      </c>
      <c r="N62" s="13">
        <v>5585.9</v>
      </c>
      <c r="O62" s="13">
        <v>4828.1000000000004</v>
      </c>
      <c r="P62" s="30" t="s">
        <v>5</v>
      </c>
      <c r="Q62" s="13">
        <v>17142.5</v>
      </c>
      <c r="R62" s="13">
        <v>14816.9</v>
      </c>
      <c r="S62" s="23">
        <v>15979.7</v>
      </c>
      <c r="T62" s="41"/>
      <c r="U62" s="13">
        <v>20119</v>
      </c>
      <c r="V62" s="13">
        <v>15840</v>
      </c>
      <c r="W62" s="24">
        <v>13576</v>
      </c>
      <c r="X62" s="58" t="str">
        <f>HYPERLINK("http://drinc.ca.gov/DNN/Portals/0/SelfCert/8564acca-005a-4548-9be8-aef1ceed74e4.xlsx","WS1")</f>
        <v>WS1</v>
      </c>
      <c r="Y62" s="10"/>
      <c r="Z62" s="26" t="s">
        <v>13</v>
      </c>
      <c r="AA62" s="13">
        <v>2403.6999999999998</v>
      </c>
      <c r="AB62" s="15">
        <v>0.15</v>
      </c>
      <c r="AC62" s="30" t="s">
        <v>14</v>
      </c>
      <c r="AD62" s="29"/>
      <c r="AE62" s="32"/>
      <c r="AF62" s="32"/>
      <c r="AG62" s="17"/>
      <c r="AH62" s="27"/>
      <c r="AI62" s="27"/>
      <c r="AJ62" s="11"/>
      <c r="AK62" s="58" t="str">
        <f>HYPERLINK("http://drinc.ca.gov/DNN/Portals/0/SelfCert/5decc877-0f1a-4232-8386-650005945aa3.pdf","Cert")</f>
        <v>Cert</v>
      </c>
      <c r="AL62" s="58" t="str">
        <f>HYPERLINK("http://drinc.ca.gov/DNN/Portals/0/SelfCert/cf1ca62b-1192-4fe8-b6f1-f2bb2ba831e2.xlsx","Analysis")</f>
        <v>Analysis</v>
      </c>
    </row>
    <row r="63" spans="1:38" s="19" customFormat="1" ht="14.4" customHeight="1" x14ac:dyDescent="0.3">
      <c r="A63" s="12" t="s">
        <v>495</v>
      </c>
      <c r="B63" s="68" t="s">
        <v>16</v>
      </c>
      <c r="C63" s="73">
        <v>134053</v>
      </c>
      <c r="D63" s="14">
        <v>23983</v>
      </c>
      <c r="E63" s="14">
        <v>22508</v>
      </c>
      <c r="F63" s="18">
        <v>0</v>
      </c>
      <c r="G63" s="68" t="s">
        <v>830</v>
      </c>
      <c r="H63" s="64">
        <v>0.2</v>
      </c>
      <c r="I63" s="64">
        <v>0.12</v>
      </c>
      <c r="J63" s="64">
        <v>0.25</v>
      </c>
      <c r="K63" s="71">
        <v>0.3342033547000347</v>
      </c>
      <c r="L63" s="65">
        <v>24158.1</v>
      </c>
      <c r="M63" s="65">
        <v>24158.1</v>
      </c>
      <c r="N63" s="13">
        <v>24180</v>
      </c>
      <c r="O63" s="13">
        <v>23786</v>
      </c>
      <c r="P63" s="30" t="s">
        <v>4</v>
      </c>
      <c r="Q63" s="13">
        <v>24180</v>
      </c>
      <c r="R63" s="13">
        <v>23786</v>
      </c>
      <c r="S63" s="23">
        <v>23983</v>
      </c>
      <c r="T63" s="41"/>
      <c r="U63" s="13">
        <v>22403</v>
      </c>
      <c r="V63" s="13">
        <v>22250</v>
      </c>
      <c r="W63" s="24">
        <v>22508</v>
      </c>
      <c r="X63" s="58" t="str">
        <f>HYPERLINK("https://drinc.ca.gov/DNN/Portals/0/SelfCert/cb746e5b-a69e-4b2a-a5bc-e3f9c53759f3.xlsx","WS1")</f>
        <v>WS1</v>
      </c>
      <c r="Y63" s="10"/>
      <c r="Z63" s="52" t="s">
        <v>31</v>
      </c>
      <c r="AA63" s="32">
        <v>1475</v>
      </c>
      <c r="AB63" s="47">
        <v>0.06</v>
      </c>
      <c r="AC63" s="16" t="s">
        <v>14</v>
      </c>
      <c r="AD63" s="74"/>
      <c r="AE63" s="45"/>
      <c r="AF63" s="45"/>
      <c r="AG63" s="75"/>
      <c r="AH63" s="38" t="s">
        <v>777</v>
      </c>
      <c r="AI63" s="37" t="str">
        <f>HYPERLINK("http://drinc.ca.gov/DNN/Portals/0/SelfCert/dfd724de-f543-4896-8cc4-e778ead3f440.pdf","Legal")</f>
        <v>Legal</v>
      </c>
      <c r="AJ63" s="76"/>
      <c r="AK63" s="58" t="str">
        <f>HYPERLINK("https://drinc.ca.gov/DNN/Portals/0/SelfCert/f13b2bd4-6864-4ae3-935a-ccb50b7f0c80.pdf","Cert")</f>
        <v>Cert</v>
      </c>
      <c r="AL63" s="58" t="str">
        <f>HYPERLINK("https://drinc.ca.gov/DNN/Portals/0/SelfCert/5abe8898-4992-49b0-a4e9-9d0a4e20d622.xlsx","Analysis")</f>
        <v>Analysis</v>
      </c>
    </row>
    <row r="64" spans="1:38" s="19" customFormat="1" ht="14.4" customHeight="1" x14ac:dyDescent="0.3">
      <c r="A64" s="12" t="s">
        <v>603</v>
      </c>
      <c r="B64" s="68" t="s">
        <v>16</v>
      </c>
      <c r="C64" s="73">
        <v>22227.5</v>
      </c>
      <c r="D64" s="14">
        <v>8352.5</v>
      </c>
      <c r="E64" s="14">
        <v>9747</v>
      </c>
      <c r="F64" s="18">
        <v>0</v>
      </c>
      <c r="G64" s="68" t="s">
        <v>776</v>
      </c>
      <c r="H64" s="64">
        <v>0.36</v>
      </c>
      <c r="I64" s="64">
        <v>0.36</v>
      </c>
      <c r="J64" s="64">
        <v>0.2</v>
      </c>
      <c r="K64" s="71">
        <v>0.16116248348745055</v>
      </c>
      <c r="L64" s="65">
        <v>8238</v>
      </c>
      <c r="M64" s="65">
        <v>8238</v>
      </c>
      <c r="N64" s="13">
        <v>8238</v>
      </c>
      <c r="O64" s="13">
        <v>8467</v>
      </c>
      <c r="P64" s="30" t="s">
        <v>4</v>
      </c>
      <c r="Q64" s="13">
        <v>8238</v>
      </c>
      <c r="R64" s="13">
        <v>8467</v>
      </c>
      <c r="S64" s="23">
        <v>8352.5</v>
      </c>
      <c r="T64" s="41" t="s">
        <v>604</v>
      </c>
      <c r="U64" s="13">
        <v>9747</v>
      </c>
      <c r="V64" s="13">
        <v>9747</v>
      </c>
      <c r="W64" s="24">
        <v>9747</v>
      </c>
      <c r="X64" s="58" t="str">
        <f>HYPERLINK("https://drinc.ca.gov/DNN/Portals/0/SelfCert/7c2d4d88-749a-49a1-aec4-1312fc788f31.xlsx","WS1")</f>
        <v>WS1</v>
      </c>
      <c r="Y64" s="10" t="s">
        <v>605</v>
      </c>
      <c r="Z64" s="26" t="s">
        <v>13</v>
      </c>
      <c r="AA64" s="13">
        <v>-1394.5</v>
      </c>
      <c r="AB64" s="66">
        <v>0</v>
      </c>
      <c r="AC64" s="30" t="s">
        <v>14</v>
      </c>
      <c r="AD64" s="29"/>
      <c r="AE64" s="32"/>
      <c r="AF64" s="32"/>
      <c r="AG64" s="17"/>
      <c r="AH64" s="27"/>
      <c r="AI64" s="27"/>
      <c r="AJ64" s="11"/>
      <c r="AK64" s="58" t="str">
        <f>HYPERLINK("https://drinc.ca.gov/DNN/Portals/0/SelfCert/2926bb3d-648f-49e9-99d8-da3a2dbed767.pdf","Cert")</f>
        <v>Cert</v>
      </c>
      <c r="AL64" s="58" t="str">
        <f>HYPERLINK("https://drinc.ca.gov/DNN/Portals/0/SelfCert/7c3bd776-593a-4364-ab3a-f65e2e779b90.xlsx","Analysis")</f>
        <v>Analysis</v>
      </c>
    </row>
    <row r="65" spans="1:38" s="19" customFormat="1" ht="14.4" customHeight="1" x14ac:dyDescent="0.3">
      <c r="A65" s="12" t="s">
        <v>281</v>
      </c>
      <c r="B65" s="68" t="s">
        <v>50</v>
      </c>
      <c r="C65" s="73">
        <v>97212.833333333328</v>
      </c>
      <c r="D65" s="14">
        <v>27914</v>
      </c>
      <c r="E65" s="14">
        <v>116232</v>
      </c>
      <c r="F65" s="18">
        <v>0</v>
      </c>
      <c r="G65" s="68" t="s">
        <v>776</v>
      </c>
      <c r="H65" s="64">
        <v>0.32</v>
      </c>
      <c r="I65" s="64">
        <v>0.28000000000000003</v>
      </c>
      <c r="J65" s="64">
        <v>0.28999999999999998</v>
      </c>
      <c r="K65" s="71">
        <v>0.1585595726795801</v>
      </c>
      <c r="L65" s="65">
        <v>30462.3</v>
      </c>
      <c r="M65" s="65">
        <v>30462.3</v>
      </c>
      <c r="N65" s="13">
        <v>30733</v>
      </c>
      <c r="O65" s="13">
        <v>25095</v>
      </c>
      <c r="P65" s="30" t="s">
        <v>4</v>
      </c>
      <c r="Q65" s="13">
        <v>30733</v>
      </c>
      <c r="R65" s="13">
        <v>25095</v>
      </c>
      <c r="S65" s="23">
        <v>27914</v>
      </c>
      <c r="T65" s="41" t="s">
        <v>282</v>
      </c>
      <c r="U65" s="13">
        <v>152418</v>
      </c>
      <c r="V65" s="13">
        <v>115139</v>
      </c>
      <c r="W65" s="24">
        <v>116232</v>
      </c>
      <c r="X65" s="58" t="str">
        <f>HYPERLINK("http://drinc.ca.gov/DNN/Portals/0/SelfCert/0fe55ca7-a0f1-4c0e-ba5e-5187d2f83370.xlsx","WS1")</f>
        <v>WS1</v>
      </c>
      <c r="Y65" s="10"/>
      <c r="Z65" s="26" t="s">
        <v>13</v>
      </c>
      <c r="AA65" s="13">
        <v>-88318</v>
      </c>
      <c r="AB65" s="66">
        <v>0</v>
      </c>
      <c r="AC65" s="30" t="s">
        <v>14</v>
      </c>
      <c r="AD65" s="29"/>
      <c r="AE65" s="32"/>
      <c r="AF65" s="32"/>
      <c r="AG65" s="17"/>
      <c r="AH65" s="27"/>
      <c r="AI65" s="27"/>
      <c r="AJ65" s="11"/>
      <c r="AK65" s="58" t="str">
        <f>HYPERLINK("http://drinc.ca.gov/DNN/Portals/0/SelfCert/2db4f7d1-be01-49f4-9f7a-cfeb75077453.pdf","Cert")</f>
        <v>Cert</v>
      </c>
      <c r="AL65" s="58" t="str">
        <f>HYPERLINK("http://drinc.ca.gov/DNN/Portals/0/SelfCert/faa01a86-4f47-4241-8ef5-f36cf62062bc.docx","Analysis")</f>
        <v>Analysis</v>
      </c>
    </row>
    <row r="66" spans="1:38" s="19" customFormat="1" ht="14.4" customHeight="1" x14ac:dyDescent="0.3">
      <c r="A66" s="12" t="s">
        <v>213</v>
      </c>
      <c r="B66" s="68" t="s">
        <v>16</v>
      </c>
      <c r="C66" s="73">
        <v>168070</v>
      </c>
      <c r="D66" s="14">
        <v>34755</v>
      </c>
      <c r="E66" s="14">
        <v>34770</v>
      </c>
      <c r="F66" s="18">
        <v>0</v>
      </c>
      <c r="G66" s="68" t="s">
        <v>776</v>
      </c>
      <c r="H66" s="64">
        <v>0.28000000000000003</v>
      </c>
      <c r="I66" s="64">
        <v>0.28000000000000003</v>
      </c>
      <c r="J66" s="64">
        <v>0.2</v>
      </c>
      <c r="K66" s="71">
        <v>0.1720600331263874</v>
      </c>
      <c r="L66" s="65">
        <v>34496.300000000003</v>
      </c>
      <c r="M66" s="65">
        <v>34496.300000000003</v>
      </c>
      <c r="N66" s="13">
        <v>34773</v>
      </c>
      <c r="O66" s="13">
        <v>34737</v>
      </c>
      <c r="P66" s="30" t="s">
        <v>4</v>
      </c>
      <c r="Q66" s="13">
        <v>34773</v>
      </c>
      <c r="R66" s="13">
        <v>34737</v>
      </c>
      <c r="S66" s="23">
        <v>34755</v>
      </c>
      <c r="T66" s="41" t="s">
        <v>214</v>
      </c>
      <c r="U66" s="13">
        <v>34159</v>
      </c>
      <c r="V66" s="13">
        <v>34846</v>
      </c>
      <c r="W66" s="24">
        <v>34770</v>
      </c>
      <c r="X66" s="58" t="str">
        <f>HYPERLINK("http://drinc.ca.gov/DNN/Portals/0/SelfCert/c4ffc2d4-d206-41f4-8476-b8b296b859ed.xlsx","WS1")</f>
        <v>WS1</v>
      </c>
      <c r="Y66" s="10" t="s">
        <v>215</v>
      </c>
      <c r="Z66" s="26" t="s">
        <v>13</v>
      </c>
      <c r="AA66" s="13">
        <v>-15</v>
      </c>
      <c r="AB66" s="15">
        <v>0</v>
      </c>
      <c r="AC66" s="30" t="s">
        <v>14</v>
      </c>
      <c r="AD66" s="29" t="s">
        <v>216</v>
      </c>
      <c r="AE66" s="32"/>
      <c r="AF66" s="32"/>
      <c r="AG66" s="17"/>
      <c r="AH66" s="27"/>
      <c r="AI66" s="27"/>
      <c r="AJ66" s="11"/>
      <c r="AK66" s="58" t="str">
        <f>HYPERLINK("http://drinc.ca.gov/DNN/Portals/0/SelfCert/ea8df0da-7689-4f0a-837b-9e3244b1c8cb.pdf","Cert")</f>
        <v>Cert</v>
      </c>
      <c r="AL66" s="58" t="str">
        <f>HYPERLINK("http://drinc.ca.gov/DNN/Portals/0/SelfCert/3f228652-0fb6-453b-b4b3-22fe2dcc569c.pdf","Analysis")</f>
        <v>Analysis</v>
      </c>
    </row>
    <row r="67" spans="1:38" s="19" customFormat="1" ht="14.4" customHeight="1" x14ac:dyDescent="0.3">
      <c r="A67" s="12" t="s">
        <v>541</v>
      </c>
      <c r="B67" s="68" t="s">
        <v>16</v>
      </c>
      <c r="C67" s="73">
        <v>105921.66666666667</v>
      </c>
      <c r="D67" s="14">
        <v>18799.900000000001</v>
      </c>
      <c r="E67" s="14">
        <v>18800</v>
      </c>
      <c r="F67" s="18">
        <v>0</v>
      </c>
      <c r="G67" s="68" t="s">
        <v>776</v>
      </c>
      <c r="H67" s="64">
        <v>0.24</v>
      </c>
      <c r="I67" s="64">
        <v>0.22</v>
      </c>
      <c r="J67" s="64">
        <v>0.26</v>
      </c>
      <c r="K67" s="71">
        <v>0.27769993835117412</v>
      </c>
      <c r="L67" s="65">
        <v>19174.2</v>
      </c>
      <c r="M67" s="65">
        <v>19174.2</v>
      </c>
      <c r="N67" s="13">
        <v>19174.2</v>
      </c>
      <c r="O67" s="13">
        <v>18425.5</v>
      </c>
      <c r="P67" s="30" t="s">
        <v>4</v>
      </c>
      <c r="Q67" s="13">
        <v>19174.2</v>
      </c>
      <c r="R67" s="13">
        <v>18425.5</v>
      </c>
      <c r="S67" s="23">
        <v>18799.900000000001</v>
      </c>
      <c r="T67" s="41"/>
      <c r="U67" s="13">
        <v>18800</v>
      </c>
      <c r="V67" s="13">
        <v>18800</v>
      </c>
      <c r="W67" s="24">
        <v>18800</v>
      </c>
      <c r="X67" s="58" t="str">
        <f>HYPERLINK("http://drinc.ca.gov/DNN/Portals/0/SelfCert/e6a123db-1fdb-435f-a6cd-15a764d8640a.xlsx","WS1")</f>
        <v>WS1</v>
      </c>
      <c r="Y67" s="10"/>
      <c r="Z67" s="26" t="s">
        <v>13</v>
      </c>
      <c r="AA67" s="13">
        <v>-0.2</v>
      </c>
      <c r="AB67" s="15">
        <v>0</v>
      </c>
      <c r="AC67" s="30" t="s">
        <v>14</v>
      </c>
      <c r="AD67" s="29"/>
      <c r="AE67" s="32"/>
      <c r="AF67" s="32"/>
      <c r="AG67" s="17"/>
      <c r="AH67" s="27"/>
      <c r="AI67" s="27"/>
      <c r="AJ67" s="11"/>
      <c r="AK67" s="58" t="str">
        <f>HYPERLINK("http://drinc.ca.gov/DNN/Portals/0/SelfCert/90ae0896-186d-4520-8c44-4634d03bb4e8.pdf","Cert")</f>
        <v>Cert</v>
      </c>
      <c r="AL67" s="58" t="str">
        <f>HYPERLINK("http://drinc.ca.gov/DNN/Portals/0/SelfCert/2c70c57c-e786-4161-a2f6-d89fb2f0422c.xlsx","Analysis")</f>
        <v>Analysis</v>
      </c>
    </row>
    <row r="68" spans="1:38" s="19" customFormat="1" ht="14.4" customHeight="1" x14ac:dyDescent="0.3">
      <c r="A68" s="12" t="s">
        <v>101</v>
      </c>
      <c r="B68" s="68" t="s">
        <v>16</v>
      </c>
      <c r="C68" s="73">
        <v>47182.916666666664</v>
      </c>
      <c r="D68" s="14">
        <v>9255.5</v>
      </c>
      <c r="E68" s="14">
        <v>8996.9</v>
      </c>
      <c r="F68" s="18">
        <v>0.03</v>
      </c>
      <c r="G68" s="68" t="s">
        <v>776</v>
      </c>
      <c r="H68" s="64">
        <v>0.2</v>
      </c>
      <c r="I68" s="64">
        <v>0.2</v>
      </c>
      <c r="J68" s="64">
        <v>0.22</v>
      </c>
      <c r="K68" s="71">
        <v>0.21450245426149062</v>
      </c>
      <c r="L68" s="65">
        <v>9710.2999999999993</v>
      </c>
      <c r="M68" s="65">
        <v>9283.9</v>
      </c>
      <c r="N68" s="13">
        <v>9710.2999999999993</v>
      </c>
      <c r="O68" s="13">
        <v>8800.7000000000007</v>
      </c>
      <c r="P68" s="30" t="s">
        <v>4</v>
      </c>
      <c r="Q68" s="13">
        <v>9710.2999999999993</v>
      </c>
      <c r="R68" s="13">
        <v>8800.7000000000007</v>
      </c>
      <c r="S68" s="23">
        <v>9255.5</v>
      </c>
      <c r="T68" s="41"/>
      <c r="U68" s="13">
        <v>9196.9</v>
      </c>
      <c r="V68" s="13">
        <v>9196.9</v>
      </c>
      <c r="W68" s="24">
        <v>8996.9</v>
      </c>
      <c r="X68" s="58" t="str">
        <f>HYPERLINK("https://drinc.ca.gov/DNN/Portals/0/SelfCert/2fc9a44d-a315-4426-b23f-1bd9ca2612e7.xlsx","WS1")</f>
        <v>WS1</v>
      </c>
      <c r="Y68" s="10"/>
      <c r="Z68" s="26" t="s">
        <v>13</v>
      </c>
      <c r="AA68" s="13">
        <v>258.60000000000002</v>
      </c>
      <c r="AB68" s="15">
        <v>0.03</v>
      </c>
      <c r="AC68" s="30" t="s">
        <v>18</v>
      </c>
      <c r="AD68" s="29"/>
      <c r="AE68" s="32"/>
      <c r="AF68" s="32"/>
      <c r="AG68" s="17"/>
      <c r="AH68" s="27"/>
      <c r="AI68" s="27"/>
      <c r="AJ68" s="11"/>
      <c r="AK68" s="58" t="str">
        <f>HYPERLINK("https://drinc.ca.gov/DNN/Portals/0/SelfCert/366d8136-c0d6-418e-a4fc-87c0f9a0147c.pdf","Cert")</f>
        <v>Cert</v>
      </c>
      <c r="AL68" s="58" t="str">
        <f>HYPERLINK("https://drinc.ca.gov/DNN/Portals/0/SelfCert/978da9e2-48ad-4a6d-b9ee-16c033f17080.xlsx","Analysis")</f>
        <v>Analysis</v>
      </c>
    </row>
    <row r="69" spans="1:38" s="19" customFormat="1" ht="14.4" customHeight="1" x14ac:dyDescent="0.3">
      <c r="A69" s="12" t="s">
        <v>22</v>
      </c>
      <c r="B69" s="68" t="s">
        <v>23</v>
      </c>
      <c r="C69" s="73">
        <v>13839</v>
      </c>
      <c r="D69" s="14">
        <v>3307.6</v>
      </c>
      <c r="E69" s="14">
        <v>5807</v>
      </c>
      <c r="F69" s="18">
        <v>0</v>
      </c>
      <c r="G69" s="68" t="s">
        <v>798</v>
      </c>
      <c r="H69" s="64">
        <v>0.32</v>
      </c>
      <c r="I69" s="64">
        <v>0.28000000000000003</v>
      </c>
      <c r="J69" s="64">
        <v>0.15</v>
      </c>
      <c r="K69" s="71">
        <v>0.24388318863456981</v>
      </c>
      <c r="L69" s="65">
        <v>3339.4</v>
      </c>
      <c r="M69" s="65">
        <v>3339.4</v>
      </c>
      <c r="N69" s="13">
        <v>1087.9000000000001</v>
      </c>
      <c r="O69" s="13">
        <v>1067.7</v>
      </c>
      <c r="P69" s="30" t="s">
        <v>5</v>
      </c>
      <c r="Q69" s="13">
        <v>3338.6</v>
      </c>
      <c r="R69" s="13">
        <v>3276.5</v>
      </c>
      <c r="S69" s="23">
        <v>3307.6</v>
      </c>
      <c r="T69" s="41"/>
      <c r="U69" s="13">
        <v>4900000</v>
      </c>
      <c r="V69" s="13">
        <v>4900000</v>
      </c>
      <c r="W69" s="24">
        <v>4900000</v>
      </c>
      <c r="X69" s="58" t="str">
        <f>HYPERLINK("http://drinc.ca.gov/DNN/Portals/0/SelfCert/386efd78-1aac-412a-b428-a002e84e45e1.xlsx","WS1")</f>
        <v>WS1</v>
      </c>
      <c r="Y69" s="10" t="s">
        <v>24</v>
      </c>
      <c r="Z69" s="26" t="s">
        <v>13</v>
      </c>
      <c r="AA69" s="13">
        <v>-4896692.5</v>
      </c>
      <c r="AB69" s="66">
        <v>0</v>
      </c>
      <c r="AC69" s="30" t="s">
        <v>14</v>
      </c>
      <c r="AD69" s="29" t="s">
        <v>25</v>
      </c>
      <c r="AE69" s="32"/>
      <c r="AF69" s="32"/>
      <c r="AG69" s="17"/>
      <c r="AH69" s="27"/>
      <c r="AI69" s="27"/>
      <c r="AJ69" s="11"/>
      <c r="AK69" s="58" t="str">
        <f>HYPERLINK("http://drinc.ca.gov/DNN/Portals/0/SelfCert/949440c8-73e3-48ab-a211-1440b26606b6.pdf","Cert")</f>
        <v>Cert</v>
      </c>
      <c r="AL69" s="58" t="str">
        <f>HYPERLINK("http://drinc.ca.gov/DNN/Portals/0/SelfCert/135612d7-f9cf-4871-982e-74fdbe9bebc1.doc","Analysis")</f>
        <v>Analysis</v>
      </c>
    </row>
    <row r="70" spans="1:38" s="19" customFormat="1" ht="14.4" customHeight="1" x14ac:dyDescent="0.3">
      <c r="A70" s="12" t="s">
        <v>659</v>
      </c>
      <c r="B70" s="68" t="s">
        <v>50</v>
      </c>
      <c r="C70" s="73">
        <v>123472.33333333333</v>
      </c>
      <c r="D70" s="14">
        <v>31353.5</v>
      </c>
      <c r="E70" s="14">
        <v>42107</v>
      </c>
      <c r="F70" s="18">
        <v>0</v>
      </c>
      <c r="G70" s="68" t="s">
        <v>776</v>
      </c>
      <c r="H70" s="64">
        <v>0.28000000000000003</v>
      </c>
      <c r="I70" s="64">
        <v>0.25</v>
      </c>
      <c r="J70" s="64">
        <v>0.34</v>
      </c>
      <c r="K70" s="71">
        <v>0.20594851287178195</v>
      </c>
      <c r="L70" s="65">
        <v>34136.1</v>
      </c>
      <c r="M70" s="65">
        <v>34136.1</v>
      </c>
      <c r="N70" s="13">
        <v>34902</v>
      </c>
      <c r="O70" s="13">
        <v>27805</v>
      </c>
      <c r="P70" s="30" t="s">
        <v>4</v>
      </c>
      <c r="Q70" s="13">
        <v>34902</v>
      </c>
      <c r="R70" s="13">
        <v>27805</v>
      </c>
      <c r="S70" s="34">
        <v>31353.5</v>
      </c>
      <c r="T70" s="41"/>
      <c r="U70" s="13">
        <v>70287</v>
      </c>
      <c r="V70" s="13">
        <v>49927</v>
      </c>
      <c r="W70" s="24">
        <v>42107</v>
      </c>
      <c r="X70" s="58" t="str">
        <f>HYPERLINK("https://drinc.ca.gov/DNN/Portals/0/SelfCert/55bca1e4-8aa0-4f03-b79b-ea0efd0e8740.xlsx","WS1")</f>
        <v>WS1</v>
      </c>
      <c r="Y70" s="10"/>
      <c r="Z70" s="26" t="s">
        <v>13</v>
      </c>
      <c r="AA70" s="31">
        <v>-10753.5</v>
      </c>
      <c r="AB70" s="66">
        <v>0</v>
      </c>
      <c r="AC70" s="30" t="s">
        <v>14</v>
      </c>
      <c r="AD70" s="29" t="s">
        <v>660</v>
      </c>
      <c r="AE70" s="32"/>
      <c r="AF70" s="32"/>
      <c r="AG70" s="17"/>
      <c r="AH70" s="36"/>
      <c r="AI70" s="36"/>
      <c r="AJ70" s="11" t="s">
        <v>661</v>
      </c>
      <c r="AK70" s="58" t="str">
        <f>HYPERLINK("https://drinc.ca.gov/DNN/Portals/0/SelfCert/d8b39dba-c2fa-4bbb-8b98-76303d3c9104.pdf","Cert")</f>
        <v>Cert</v>
      </c>
      <c r="AL70" s="58" t="str">
        <f>HYPERLINK("https://drinc.ca.gov/DNN/Portals/0/SelfCert/c7fb6e7d-3e46-46df-801c-b0921743bf32.xlsx","Analysis")</f>
        <v>Analysis</v>
      </c>
    </row>
    <row r="71" spans="1:38" s="19" customFormat="1" ht="14.4" customHeight="1" x14ac:dyDescent="0.3">
      <c r="A71" s="12" t="s">
        <v>83</v>
      </c>
      <c r="B71" s="68" t="s">
        <v>16</v>
      </c>
      <c r="C71" s="73">
        <v>125484.25</v>
      </c>
      <c r="D71" s="14">
        <v>19456</v>
      </c>
      <c r="E71" s="14">
        <v>19975</v>
      </c>
      <c r="F71" s="18">
        <v>0</v>
      </c>
      <c r="G71" s="68" t="s">
        <v>830</v>
      </c>
      <c r="H71" s="64">
        <v>0.2</v>
      </c>
      <c r="I71" s="64">
        <v>0.12</v>
      </c>
      <c r="J71" s="64">
        <v>0.19</v>
      </c>
      <c r="K71" s="71">
        <v>0.17849898580121693</v>
      </c>
      <c r="L71" s="65">
        <v>19344</v>
      </c>
      <c r="M71" s="65">
        <v>19344</v>
      </c>
      <c r="N71" s="13">
        <v>19343</v>
      </c>
      <c r="O71" s="13">
        <v>19569</v>
      </c>
      <c r="P71" s="30" t="s">
        <v>4</v>
      </c>
      <c r="Q71" s="13">
        <v>19343</v>
      </c>
      <c r="R71" s="13">
        <v>19569</v>
      </c>
      <c r="S71" s="24">
        <v>19456</v>
      </c>
      <c r="T71" s="41"/>
      <c r="U71" s="13">
        <v>19890</v>
      </c>
      <c r="V71" s="13">
        <v>19765</v>
      </c>
      <c r="W71" s="24">
        <v>19975</v>
      </c>
      <c r="X71" s="58" t="str">
        <f>HYPERLINK("http://drinc.ca.gov/DNN/Portals/0/SelfCert/9a286d97-0cce-412f-9b00-afe7dd888153.xlsx","WS1")</f>
        <v>WS1</v>
      </c>
      <c r="Y71" s="10"/>
      <c r="Z71" s="52" t="s">
        <v>31</v>
      </c>
      <c r="AA71" s="20">
        <v>-519</v>
      </c>
      <c r="AB71" s="67">
        <v>0</v>
      </c>
      <c r="AC71" s="16"/>
      <c r="AD71" s="11"/>
      <c r="AE71" s="65"/>
      <c r="AF71" s="65"/>
      <c r="AG71" s="15">
        <v>0</v>
      </c>
      <c r="AH71" s="38" t="s">
        <v>777</v>
      </c>
      <c r="AI71" s="37" t="str">
        <f>HYPERLINK("http://drinc.ca.gov/DNN/Portals/0/SelfCert/dfd724de-f543-4896-8cc4-e778ead3f440.pdf","Legal")</f>
        <v>Legal</v>
      </c>
      <c r="AJ71" s="10"/>
      <c r="AK71" s="58" t="str">
        <f>HYPERLINK("http://drinc.ca.gov/DNN/Portals/0/SelfCert/568ac23f-2bdf-456e-904e-bb6e3478ae01.pdf","Cert")</f>
        <v>Cert</v>
      </c>
      <c r="AL71" s="58" t="str">
        <f>HYPERLINK("http://drinc.ca.gov/DNN/Portals/0/SelfCert/cfd82de3-1f55-48bd-bd8f-d15d731925f2.pdf","Analysis")</f>
        <v>Analysis</v>
      </c>
    </row>
    <row r="72" spans="1:38" s="19" customFormat="1" ht="14.4" customHeight="1" x14ac:dyDescent="0.3">
      <c r="A72" s="12" t="s">
        <v>122</v>
      </c>
      <c r="B72" s="68" t="s">
        <v>16</v>
      </c>
      <c r="C72" s="73">
        <v>74215.25</v>
      </c>
      <c r="D72" s="14">
        <v>20382.3</v>
      </c>
      <c r="E72" s="14">
        <v>22099.4</v>
      </c>
      <c r="F72" s="18">
        <v>0</v>
      </c>
      <c r="G72" s="68" t="s">
        <v>776</v>
      </c>
      <c r="H72" s="64">
        <v>0.32</v>
      </c>
      <c r="I72" s="64">
        <v>0.28000000000000003</v>
      </c>
      <c r="J72" s="64">
        <v>0.21</v>
      </c>
      <c r="K72" s="71">
        <v>0.22475570032573278</v>
      </c>
      <c r="L72" s="65">
        <v>20534.599999999999</v>
      </c>
      <c r="M72" s="65">
        <v>20534.599999999999</v>
      </c>
      <c r="N72" s="13">
        <v>20535</v>
      </c>
      <c r="O72" s="13">
        <v>20229.5</v>
      </c>
      <c r="P72" s="30" t="s">
        <v>4</v>
      </c>
      <c r="Q72" s="13">
        <v>20535</v>
      </c>
      <c r="R72" s="13">
        <v>20229.5</v>
      </c>
      <c r="S72" s="23">
        <v>20382.3</v>
      </c>
      <c r="T72" s="41"/>
      <c r="U72" s="13">
        <v>21190.43</v>
      </c>
      <c r="V72" s="13">
        <v>21721.4</v>
      </c>
      <c r="W72" s="24">
        <v>22099.4</v>
      </c>
      <c r="X72" s="58" t="str">
        <f>HYPERLINK("http://drinc.ca.gov/DNN/Portals/0/SelfCert/f8d17ebe-9e47-4480-b6e6-23731e5b9de9.xlsx","WS1")</f>
        <v>WS1</v>
      </c>
      <c r="Y72" s="10" t="s">
        <v>123</v>
      </c>
      <c r="Z72" s="26" t="s">
        <v>13</v>
      </c>
      <c r="AA72" s="13">
        <v>-1717.2</v>
      </c>
      <c r="AB72" s="66">
        <v>0</v>
      </c>
      <c r="AC72" s="30" t="s">
        <v>18</v>
      </c>
      <c r="AD72" s="29" t="s">
        <v>742</v>
      </c>
      <c r="AE72" s="32"/>
      <c r="AF72" s="32"/>
      <c r="AG72" s="17"/>
      <c r="AH72" s="27"/>
      <c r="AI72" s="27"/>
      <c r="AJ72" s="11"/>
      <c r="AK72" s="58" t="str">
        <f>HYPERLINK("http://drinc.ca.gov/DNN/Portals/0/SelfCert/d9b20379-291e-49e7-a2ef-8c8564683f23.pdf","Cert")</f>
        <v>Cert</v>
      </c>
      <c r="AL72" s="58" t="str">
        <f>HYPERLINK("http://drinc.ca.gov/DNN/Portals/0/SelfCert/2ebce10c-52a8-43d8-9376-41cbfc394c63.xls","Analysis")</f>
        <v>Analysis</v>
      </c>
    </row>
    <row r="73" spans="1:38" s="19" customFormat="1" ht="14.4" customHeight="1" x14ac:dyDescent="0.3">
      <c r="A73" s="12" t="s">
        <v>427</v>
      </c>
      <c r="B73" s="68" t="s">
        <v>40</v>
      </c>
      <c r="C73" s="73">
        <v>86316.666666666672</v>
      </c>
      <c r="D73" s="14">
        <v>14586.9</v>
      </c>
      <c r="E73" s="14">
        <v>38228</v>
      </c>
      <c r="F73" s="18">
        <v>0</v>
      </c>
      <c r="G73" s="68" t="s">
        <v>776</v>
      </c>
      <c r="H73" s="64">
        <v>0.2</v>
      </c>
      <c r="I73" s="64">
        <v>0.2</v>
      </c>
      <c r="J73" s="64">
        <v>0.25</v>
      </c>
      <c r="K73" s="71">
        <v>0.19519704433497531</v>
      </c>
      <c r="L73" s="65">
        <v>14783</v>
      </c>
      <c r="M73" s="65">
        <v>14783</v>
      </c>
      <c r="N73" s="13">
        <v>15365.6</v>
      </c>
      <c r="O73" s="13">
        <v>13808.2</v>
      </c>
      <c r="P73" s="30" t="s">
        <v>4</v>
      </c>
      <c r="Q73" s="13">
        <v>15365.6</v>
      </c>
      <c r="R73" s="13">
        <v>13808.2</v>
      </c>
      <c r="S73" s="23">
        <v>14586.9</v>
      </c>
      <c r="T73" s="41" t="s">
        <v>428</v>
      </c>
      <c r="U73" s="13">
        <v>51043</v>
      </c>
      <c r="V73" s="13">
        <v>39919</v>
      </c>
      <c r="W73" s="24">
        <v>38228</v>
      </c>
      <c r="X73" s="58" t="str">
        <f>HYPERLINK("http://drinc.ca.gov/DNN/Portals/0/SelfCert/61e5ef3a-4cc7-407b-8769-ee63d3dd227a.xlsx","WS1")</f>
        <v>WS1</v>
      </c>
      <c r="Y73" s="10" t="s">
        <v>429</v>
      </c>
      <c r="Z73" s="26" t="s">
        <v>13</v>
      </c>
      <c r="AA73" s="13">
        <v>-23641.1</v>
      </c>
      <c r="AB73" s="66">
        <v>0</v>
      </c>
      <c r="AC73" s="30" t="s">
        <v>14</v>
      </c>
      <c r="AD73" s="29"/>
      <c r="AE73" s="32"/>
      <c r="AF73" s="32"/>
      <c r="AG73" s="17"/>
      <c r="AH73" s="27"/>
      <c r="AI73" s="27"/>
      <c r="AJ73" s="11"/>
      <c r="AK73" s="58" t="str">
        <f>HYPERLINK("http://drinc.ca.gov/DNN/Portals/0/SelfCert/6c0f905d-ced7-4bc6-9f9f-431febc9f4be.pdf","Cert")</f>
        <v>Cert</v>
      </c>
      <c r="AL73" s="58" t="str">
        <f>HYPERLINK("http://drinc.ca.gov/DNN/Portals/0/SelfCert/b69395a2-90d4-4bdd-9400-b7a2a287a8a8.docx","Analysis")</f>
        <v>Analysis</v>
      </c>
    </row>
    <row r="74" spans="1:38" s="19" customFormat="1" ht="14.4" customHeight="1" x14ac:dyDescent="0.3">
      <c r="A74" s="12" t="s">
        <v>89</v>
      </c>
      <c r="B74" s="68" t="s">
        <v>23</v>
      </c>
      <c r="C74" s="73">
        <v>37600</v>
      </c>
      <c r="D74" s="14">
        <v>8334</v>
      </c>
      <c r="E74" s="14">
        <v>25808</v>
      </c>
      <c r="F74" s="18">
        <v>0</v>
      </c>
      <c r="G74" s="68" t="s">
        <v>776</v>
      </c>
      <c r="H74" s="64">
        <v>0.28000000000000003</v>
      </c>
      <c r="I74" s="64">
        <v>0.24</v>
      </c>
      <c r="J74" s="64">
        <v>0.19</v>
      </c>
      <c r="K74" s="71">
        <v>0.1216389244558258</v>
      </c>
      <c r="L74" s="65">
        <v>8536.1</v>
      </c>
      <c r="M74" s="65">
        <v>8536.1</v>
      </c>
      <c r="N74" s="13">
        <v>8542</v>
      </c>
      <c r="O74" s="13">
        <v>8126</v>
      </c>
      <c r="P74" s="30" t="s">
        <v>4</v>
      </c>
      <c r="Q74" s="13">
        <v>8542</v>
      </c>
      <c r="R74" s="13">
        <v>8126</v>
      </c>
      <c r="S74" s="23">
        <v>8334</v>
      </c>
      <c r="T74" s="41"/>
      <c r="U74" s="65">
        <v>25808</v>
      </c>
      <c r="V74" s="65">
        <v>25808</v>
      </c>
      <c r="W74" s="51">
        <v>25808</v>
      </c>
      <c r="X74" s="56" t="str">
        <f>HYPERLINK("http://drinc.ca.gov/DNN/Portals/0/SelfCert/a0581497-e423-4566-95a6-547847c0d27d.xlsx","WS1")</f>
        <v>WS1</v>
      </c>
      <c r="Y74" s="10"/>
      <c r="Z74" s="26" t="s">
        <v>13</v>
      </c>
      <c r="AA74" s="13">
        <v>-17474</v>
      </c>
      <c r="AB74" s="66">
        <v>0</v>
      </c>
      <c r="AC74" s="30" t="s">
        <v>14</v>
      </c>
      <c r="AD74" s="29" t="s">
        <v>90</v>
      </c>
      <c r="AE74" s="32"/>
      <c r="AF74" s="32"/>
      <c r="AG74" s="17"/>
      <c r="AH74" s="27"/>
      <c r="AI74" s="27"/>
      <c r="AJ74" s="11"/>
      <c r="AK74" s="58" t="str">
        <f>HYPERLINK("https://drinc.ca.gov/DNN/Portals/0/SelfCert/5d7fa990-70cd-49e5-a996-d2353c9a2b8f.pdf","Cert")</f>
        <v>Cert</v>
      </c>
      <c r="AL74" s="56" t="str">
        <f>HYPERLINK("http://drinc.ca.gov/DNN/Portals/0/SelfCert/52fb9e5c-1d85-4558-bf35-863d743e23ab.pdf","Analysis")</f>
        <v>Analysis</v>
      </c>
    </row>
    <row r="75" spans="1:38" s="19" customFormat="1" ht="14.4" customHeight="1" x14ac:dyDescent="0.3">
      <c r="A75" s="12" t="s">
        <v>10</v>
      </c>
      <c r="B75" s="68" t="s">
        <v>11</v>
      </c>
      <c r="C75" s="73">
        <v>207470.08333333334</v>
      </c>
      <c r="D75" s="14">
        <v>50895</v>
      </c>
      <c r="E75" s="14">
        <v>54527</v>
      </c>
      <c r="F75" s="18">
        <v>0</v>
      </c>
      <c r="G75" s="68" t="s">
        <v>776</v>
      </c>
      <c r="H75" s="64">
        <v>0.32</v>
      </c>
      <c r="I75" s="64">
        <v>0.28000000000000003</v>
      </c>
      <c r="J75" s="64">
        <v>0.28999999999999998</v>
      </c>
      <c r="K75" s="71">
        <v>0.23355461677730838</v>
      </c>
      <c r="L75" s="65">
        <v>52222.9</v>
      </c>
      <c r="M75" s="65">
        <v>52222.9</v>
      </c>
      <c r="N75" s="13">
        <v>52200</v>
      </c>
      <c r="O75" s="13">
        <v>49590</v>
      </c>
      <c r="P75" s="30" t="s">
        <v>4</v>
      </c>
      <c r="Q75" s="13">
        <v>52200</v>
      </c>
      <c r="R75" s="13">
        <v>49590</v>
      </c>
      <c r="S75" s="23">
        <v>50895</v>
      </c>
      <c r="T75" s="41"/>
      <c r="U75" s="13">
        <v>54527</v>
      </c>
      <c r="V75" s="13">
        <v>54527</v>
      </c>
      <c r="W75" s="24">
        <v>54527</v>
      </c>
      <c r="X75" s="58" t="str">
        <f>HYPERLINK("https://drinc.ca.gov/DNN/Portals/0/SelfCert/f99853f0-f1ca-4909-8990-99c3957424cd.xlsx","WS1")</f>
        <v>WS1</v>
      </c>
      <c r="Y75" s="10" t="s">
        <v>12</v>
      </c>
      <c r="Z75" s="26" t="s">
        <v>13</v>
      </c>
      <c r="AA75" s="13">
        <v>-3632</v>
      </c>
      <c r="AB75" s="66">
        <v>0</v>
      </c>
      <c r="AC75" s="30" t="s">
        <v>14</v>
      </c>
      <c r="AD75" s="29"/>
      <c r="AE75" s="32"/>
      <c r="AF75" s="32"/>
      <c r="AG75" s="17"/>
      <c r="AH75" s="27"/>
      <c r="AI75" s="27"/>
      <c r="AJ75" s="11"/>
      <c r="AK75" s="58" t="str">
        <f>HYPERLINK("https://drinc.ca.gov/DNN/Portals/0/SelfCert/08f6e7ff-5bc7-4ef8-95de-8343200832df.pdf","Cert")</f>
        <v>Cert</v>
      </c>
      <c r="AL75" s="58" t="str">
        <f>HYPERLINK("https://drinc.ca.gov/DNN/Portals/0/SelfCert/707837f8-1bbc-46f1-8d18-388bff260338.xlsx","Analysis")</f>
        <v>Analysis</v>
      </c>
    </row>
    <row r="76" spans="1:38" s="19" customFormat="1" ht="14.4" customHeight="1" x14ac:dyDescent="0.3">
      <c r="A76" s="12" t="s">
        <v>267</v>
      </c>
      <c r="B76" s="68" t="s">
        <v>50</v>
      </c>
      <c r="C76" s="73">
        <v>44761</v>
      </c>
      <c r="D76" s="14">
        <v>9907.5</v>
      </c>
      <c r="E76" s="14">
        <v>169512</v>
      </c>
      <c r="F76" s="18">
        <v>0</v>
      </c>
      <c r="G76" s="68" t="s">
        <v>776</v>
      </c>
      <c r="H76" s="64">
        <v>0.36</v>
      </c>
      <c r="I76" s="64">
        <v>0.33</v>
      </c>
      <c r="J76" s="64">
        <v>0.3</v>
      </c>
      <c r="K76" s="71">
        <v>0.20679886685552407</v>
      </c>
      <c r="L76" s="65">
        <v>10712.6</v>
      </c>
      <c r="M76" s="65">
        <v>10712.6</v>
      </c>
      <c r="N76" s="13">
        <v>10713</v>
      </c>
      <c r="O76" s="13">
        <v>9102</v>
      </c>
      <c r="P76" s="30" t="s">
        <v>4</v>
      </c>
      <c r="Q76" s="13">
        <v>10713</v>
      </c>
      <c r="R76" s="13">
        <v>9102</v>
      </c>
      <c r="S76" s="23">
        <v>9907.5</v>
      </c>
      <c r="T76" s="41"/>
      <c r="U76" s="13">
        <v>206604</v>
      </c>
      <c r="V76" s="13">
        <v>195078</v>
      </c>
      <c r="W76" s="24">
        <v>169512</v>
      </c>
      <c r="X76" s="58" t="str">
        <f>HYPERLINK("http://drinc.ca.gov/DNN/Portals/0/SelfCert/abfc1e99-9b88-45d2-961e-eda808f50b5e.xlsx","WS1")</f>
        <v>WS1</v>
      </c>
      <c r="Y76" s="10" t="s">
        <v>774</v>
      </c>
      <c r="Z76" s="26" t="s">
        <v>13</v>
      </c>
      <c r="AA76" s="13">
        <v>-159604.5</v>
      </c>
      <c r="AB76" s="66">
        <v>0</v>
      </c>
      <c r="AC76" s="30" t="s">
        <v>14</v>
      </c>
      <c r="AD76" s="29"/>
      <c r="AE76" s="32"/>
      <c r="AF76" s="32"/>
      <c r="AG76" s="17"/>
      <c r="AH76" s="27"/>
      <c r="AI76" s="27"/>
      <c r="AJ76" s="11"/>
      <c r="AK76" s="58" t="str">
        <f>HYPERLINK("http://drinc.ca.gov/DNN/Portals/0/SelfCert/aecf0df7-f8e0-47e3-b317-c52aac298a55.pdf","Cert")</f>
        <v>Cert</v>
      </c>
      <c r="AL76" s="58" t="str">
        <f>HYPERLINK("http://drinc.ca.gov/DNN/Portals/0/SelfCert/ec985659-a53f-4964-9167-01defc5e3766.xlsx","Analysis")</f>
        <v>Analysis</v>
      </c>
    </row>
    <row r="77" spans="1:38" s="19" customFormat="1" ht="14.4" customHeight="1" x14ac:dyDescent="0.3">
      <c r="A77" s="12" t="s">
        <v>551</v>
      </c>
      <c r="B77" s="68" t="s">
        <v>40</v>
      </c>
      <c r="C77" s="73">
        <v>346166.66666666669</v>
      </c>
      <c r="D77" s="14">
        <v>45402.5</v>
      </c>
      <c r="E77" s="14">
        <v>60850</v>
      </c>
      <c r="F77" s="18">
        <v>0</v>
      </c>
      <c r="G77" s="68" t="s">
        <v>776</v>
      </c>
      <c r="H77" s="64">
        <v>0.16</v>
      </c>
      <c r="I77" s="64">
        <v>0.16</v>
      </c>
      <c r="J77" s="64">
        <v>0.28000000000000003</v>
      </c>
      <c r="K77" s="71">
        <v>0.28678592036930184</v>
      </c>
      <c r="L77" s="65">
        <v>49841.7</v>
      </c>
      <c r="M77" s="65">
        <v>49841.7</v>
      </c>
      <c r="N77" s="13">
        <v>50250</v>
      </c>
      <c r="O77" s="13">
        <v>40555</v>
      </c>
      <c r="P77" s="30" t="s">
        <v>4</v>
      </c>
      <c r="Q77" s="13">
        <v>50250</v>
      </c>
      <c r="R77" s="13">
        <v>40555</v>
      </c>
      <c r="S77" s="23">
        <v>45402.5</v>
      </c>
      <c r="T77" s="41"/>
      <c r="U77" s="13">
        <v>61996</v>
      </c>
      <c r="V77" s="13">
        <v>54106</v>
      </c>
      <c r="W77" s="24">
        <v>60850</v>
      </c>
      <c r="X77" s="58" t="str">
        <f>HYPERLINK("https://drinc.ca.gov/DNN/Portals/0/SelfCert/c40bcbdf-068e-422d-8643-afc034ae6a27.xlsx","WS1")</f>
        <v>WS1</v>
      </c>
      <c r="Y77" s="10"/>
      <c r="Z77" s="26" t="s">
        <v>13</v>
      </c>
      <c r="AA77" s="13">
        <v>-15447.5</v>
      </c>
      <c r="AB77" s="66">
        <v>0</v>
      </c>
      <c r="AC77" s="30" t="s">
        <v>14</v>
      </c>
      <c r="AD77" s="29"/>
      <c r="AE77" s="32"/>
      <c r="AF77" s="32"/>
      <c r="AG77" s="17"/>
      <c r="AH77" s="27"/>
      <c r="AI77" s="27"/>
      <c r="AJ77" s="11"/>
      <c r="AK77" s="58" t="str">
        <f>HYPERLINK("https://drinc.ca.gov/DNN/Portals/0/SelfCert/18d60f83-b461-43df-9ccd-5a210739b07c.pdf","Cert")</f>
        <v>Cert</v>
      </c>
      <c r="AL77" s="58" t="str">
        <f>HYPERLINK("https://drinc.ca.gov/DNN/Portals/0/SelfCert/7aaec8b1-09c5-41cc-9a6e-3213d5cb6179.docx","Analysis")</f>
        <v>Analysis</v>
      </c>
    </row>
    <row r="78" spans="1:38" s="19" customFormat="1" ht="14.4" customHeight="1" x14ac:dyDescent="0.3">
      <c r="A78" s="12" t="s">
        <v>433</v>
      </c>
      <c r="B78" s="68" t="s">
        <v>16</v>
      </c>
      <c r="C78" s="73">
        <v>44565.833333333336</v>
      </c>
      <c r="D78" s="14">
        <v>4494.7</v>
      </c>
      <c r="E78" s="14">
        <v>6306</v>
      </c>
      <c r="F78" s="18">
        <v>0</v>
      </c>
      <c r="G78" s="68" t="s">
        <v>776</v>
      </c>
      <c r="H78" s="64">
        <v>0.16</v>
      </c>
      <c r="I78" s="64">
        <v>0.16</v>
      </c>
      <c r="J78" s="64">
        <v>0.09</v>
      </c>
      <c r="K78" s="71">
        <v>0.10735215769845485</v>
      </c>
      <c r="L78" s="65">
        <v>4359.8999999999996</v>
      </c>
      <c r="M78" s="65">
        <v>4359.8999999999996</v>
      </c>
      <c r="N78" s="13">
        <v>1420.7</v>
      </c>
      <c r="O78" s="13">
        <v>1508.6</v>
      </c>
      <c r="P78" s="30" t="s">
        <v>5</v>
      </c>
      <c r="Q78" s="13">
        <v>4359.8999999999996</v>
      </c>
      <c r="R78" s="13">
        <v>4629.6000000000004</v>
      </c>
      <c r="S78" s="23">
        <v>4494.7</v>
      </c>
      <c r="T78" s="41"/>
      <c r="U78" s="13">
        <v>6306</v>
      </c>
      <c r="V78" s="13">
        <v>6306</v>
      </c>
      <c r="W78" s="24">
        <v>6306</v>
      </c>
      <c r="X78" s="58" t="str">
        <f>HYPERLINK("http://drinc.ca.gov/DNN/Portals/0/SelfCert/4effc297-773e-485e-aa49-13891847ad62.xlsx","WS1")</f>
        <v>WS1</v>
      </c>
      <c r="Y78" s="10" t="s">
        <v>80</v>
      </c>
      <c r="Z78" s="26" t="s">
        <v>13</v>
      </c>
      <c r="AA78" s="13">
        <v>-1811.3</v>
      </c>
      <c r="AB78" s="66">
        <v>0</v>
      </c>
      <c r="AC78" s="30" t="s">
        <v>18</v>
      </c>
      <c r="AD78" s="29" t="s">
        <v>712</v>
      </c>
      <c r="AE78" s="32"/>
      <c r="AF78" s="32"/>
      <c r="AG78" s="17"/>
      <c r="AH78" s="27"/>
      <c r="AI78" s="27"/>
      <c r="AJ78" s="11"/>
      <c r="AK78" s="58" t="str">
        <f>HYPERLINK("http://drinc.ca.gov/DNN/Portals/0/SelfCert/0a434dc2-1c08-4150-800d-564e0df6b89e.pdf","Cert")</f>
        <v>Cert</v>
      </c>
      <c r="AL78" s="58" t="str">
        <f>HYPERLINK("http://drinc.ca.gov/DNN/Portals/0/SelfCert/d937ce1a-e755-4791-8b8f-8c02d6186176.xlsx","Analysis")</f>
        <v>Analysis</v>
      </c>
    </row>
    <row r="79" spans="1:38" s="19" customFormat="1" ht="14.4" customHeight="1" x14ac:dyDescent="0.3">
      <c r="A79" s="12" t="s">
        <v>579</v>
      </c>
      <c r="B79" s="68" t="s">
        <v>38</v>
      </c>
      <c r="C79" s="73">
        <v>12905.666666666666</v>
      </c>
      <c r="D79" s="14">
        <v>2352.5</v>
      </c>
      <c r="E79" s="14">
        <v>1801</v>
      </c>
      <c r="F79" s="18">
        <v>0.23</v>
      </c>
      <c r="G79" s="68" t="s">
        <v>776</v>
      </c>
      <c r="H79" s="64">
        <v>0.28000000000000003</v>
      </c>
      <c r="I79" s="64">
        <v>0.28000000000000003</v>
      </c>
      <c r="J79" s="64">
        <v>0.32</v>
      </c>
      <c r="K79" s="71">
        <v>0.28114663726571121</v>
      </c>
      <c r="L79" s="65">
        <v>2645.5</v>
      </c>
      <c r="M79" s="65">
        <v>2645.5</v>
      </c>
      <c r="N79" s="13">
        <v>2420</v>
      </c>
      <c r="O79" s="13">
        <v>2285</v>
      </c>
      <c r="P79" s="30" t="s">
        <v>4</v>
      </c>
      <c r="Q79" s="13">
        <v>2420</v>
      </c>
      <c r="R79" s="13">
        <v>2285</v>
      </c>
      <c r="S79" s="23">
        <v>2352.5</v>
      </c>
      <c r="T79" s="41" t="s">
        <v>580</v>
      </c>
      <c r="U79" s="13">
        <v>1801</v>
      </c>
      <c r="V79" s="13">
        <v>1801</v>
      </c>
      <c r="W79" s="24">
        <v>1801</v>
      </c>
      <c r="X79" s="58" t="str">
        <f>HYPERLINK("http://drinc.ca.gov/DNN/Portals/0/SelfCert/73ea3ffe-3221-4fb6-a0bb-69e0d2b47b91.xlsx","WS1")</f>
        <v>WS1</v>
      </c>
      <c r="Y79" s="10"/>
      <c r="Z79" s="26" t="s">
        <v>13</v>
      </c>
      <c r="AA79" s="13">
        <v>551.5</v>
      </c>
      <c r="AB79" s="15">
        <v>0.23</v>
      </c>
      <c r="AC79" s="30" t="s">
        <v>14</v>
      </c>
      <c r="AD79" s="29"/>
      <c r="AE79" s="32"/>
      <c r="AF79" s="32"/>
      <c r="AG79" s="17"/>
      <c r="AH79" s="27"/>
      <c r="AI79" s="27"/>
      <c r="AJ79" s="11"/>
      <c r="AK79" s="58" t="str">
        <f>HYPERLINK("http://drinc.ca.gov/DNN/Portals/0/SelfCert/7435d81d-00d8-48ec-bff4-3d31ec51471f.pdf","Cert")</f>
        <v>Cert</v>
      </c>
      <c r="AL79" s="58" t="str">
        <f>HYPERLINK("http://drinc.ca.gov/DNN/Portals/0/SelfCert/83404377-ce91-4f4c-8203-204887cd14d9.docx","Analysis")</f>
        <v>Analysis</v>
      </c>
    </row>
    <row r="80" spans="1:38" s="19" customFormat="1" ht="14.4" customHeight="1" x14ac:dyDescent="0.3">
      <c r="A80" s="12" t="s">
        <v>539</v>
      </c>
      <c r="B80" s="68" t="s">
        <v>16</v>
      </c>
      <c r="C80" s="73">
        <v>147152.66666666666</v>
      </c>
      <c r="D80" s="14">
        <v>42406</v>
      </c>
      <c r="E80" s="14">
        <v>42406</v>
      </c>
      <c r="F80" s="18">
        <v>0</v>
      </c>
      <c r="G80" s="12" t="s">
        <v>804</v>
      </c>
      <c r="H80" s="64">
        <v>0.36</v>
      </c>
      <c r="I80" s="64">
        <v>0.32</v>
      </c>
      <c r="J80" s="64">
        <v>0.28999999999999998</v>
      </c>
      <c r="K80" s="71">
        <v>0.18723404255319154</v>
      </c>
      <c r="L80" s="65">
        <v>66998</v>
      </c>
      <c r="M80" s="65">
        <v>42069</v>
      </c>
      <c r="N80" s="13">
        <v>66996</v>
      </c>
      <c r="O80" s="13">
        <v>69105</v>
      </c>
      <c r="P80" s="30" t="s">
        <v>4</v>
      </c>
      <c r="Q80" s="13">
        <v>66996</v>
      </c>
      <c r="R80" s="13">
        <v>69105</v>
      </c>
      <c r="S80" s="23">
        <v>68050.5</v>
      </c>
      <c r="T80" s="41"/>
      <c r="U80" s="13">
        <v>68050</v>
      </c>
      <c r="V80" s="13">
        <v>68050</v>
      </c>
      <c r="W80" s="24">
        <v>68050</v>
      </c>
      <c r="X80" s="58" t="str">
        <f>HYPERLINK("http://drinc.ca.gov/DNN/Portals/0/SelfCert/26658f97-1dee-4ff3-a261-5862bf15f872.xlsx","WS1")</f>
        <v>WS1</v>
      </c>
      <c r="Y80" s="10"/>
      <c r="Z80" s="26" t="s">
        <v>13</v>
      </c>
      <c r="AA80" s="13">
        <v>0.5</v>
      </c>
      <c r="AB80" s="15">
        <v>0</v>
      </c>
      <c r="AC80" s="30" t="s">
        <v>14</v>
      </c>
      <c r="AD80" s="29" t="s">
        <v>755</v>
      </c>
      <c r="AE80" s="32"/>
      <c r="AF80" s="32"/>
      <c r="AG80" s="17"/>
      <c r="AH80" s="27"/>
      <c r="AI80" s="27"/>
      <c r="AJ80" s="11"/>
      <c r="AK80" s="58" t="str">
        <f>HYPERLINK("http://drinc.ca.gov/DNN/Portals/0/SelfCert/fdc49a0f-fa2a-4925-8f05-8dd1ad556363.pdf","Cert")</f>
        <v>Cert</v>
      </c>
      <c r="AL80" s="58" t="str">
        <f>HYPERLINK("http://drinc.ca.gov/DNN/Portals/0/SelfCert/7f9aceb5-181d-4bdd-811d-e355dc627e5e.docx","Analysis")</f>
        <v>Analysis</v>
      </c>
    </row>
    <row r="81" spans="1:38" s="19" customFormat="1" ht="14.4" customHeight="1" x14ac:dyDescent="0.3">
      <c r="A81" s="12" t="s">
        <v>315</v>
      </c>
      <c r="B81" s="68" t="s">
        <v>16</v>
      </c>
      <c r="C81" s="73">
        <v>19505.545454545456</v>
      </c>
      <c r="D81" s="14">
        <v>21996.5</v>
      </c>
      <c r="E81" s="14">
        <v>21996</v>
      </c>
      <c r="F81" s="18">
        <v>0</v>
      </c>
      <c r="G81" s="68" t="s">
        <v>830</v>
      </c>
      <c r="H81" s="64">
        <v>0.36</v>
      </c>
      <c r="I81" s="64">
        <v>0.28000000000000003</v>
      </c>
      <c r="J81" s="64">
        <v>0.5</v>
      </c>
      <c r="K81" s="71" t="s">
        <v>822</v>
      </c>
      <c r="L81" s="65">
        <v>19228.099999999999</v>
      </c>
      <c r="M81" s="65">
        <v>7569.1</v>
      </c>
      <c r="N81" s="13">
        <v>21350</v>
      </c>
      <c r="O81" s="13">
        <v>22643</v>
      </c>
      <c r="P81" s="30" t="s">
        <v>4</v>
      </c>
      <c r="Q81" s="13">
        <v>21350</v>
      </c>
      <c r="R81" s="13">
        <v>22643</v>
      </c>
      <c r="S81" s="35">
        <v>21996.5</v>
      </c>
      <c r="T81" s="41"/>
      <c r="U81" s="13">
        <v>21996</v>
      </c>
      <c r="V81" s="13">
        <v>21996</v>
      </c>
      <c r="W81" s="24">
        <v>21996</v>
      </c>
      <c r="X81" s="58" t="str">
        <f>HYPERLINK("http://drinc.ca.gov/DNN/Portals/0/SelfCert/588796f9-91d2-48f9-8fe8-f571b7943730.xlsx","WS1")</f>
        <v>WS1</v>
      </c>
      <c r="Y81" s="10"/>
      <c r="Z81" s="52" t="s">
        <v>31</v>
      </c>
      <c r="AA81" s="32">
        <v>0.5</v>
      </c>
      <c r="AB81" s="33">
        <v>0</v>
      </c>
      <c r="AC81" s="16" t="s">
        <v>14</v>
      </c>
      <c r="AD81" s="11"/>
      <c r="AE81" s="65"/>
      <c r="AF81" s="65"/>
      <c r="AG81" s="15">
        <v>0</v>
      </c>
      <c r="AH81" s="38" t="s">
        <v>777</v>
      </c>
      <c r="AI81" s="37" t="str">
        <f>HYPERLINK("http://drinc.ca.gov/DNN/Portals/0/SelfCert/dfd724de-f543-4896-8cc4-e778ead3f440.pdf","Legal")</f>
        <v>Legal</v>
      </c>
      <c r="AJ81" s="10"/>
      <c r="AK81" s="58" t="str">
        <f>HYPERLINK("http://drinc.ca.gov/DNN/Portals/0/SelfCert/358f9443-2d2a-4443-b62b-3d83b42dc58c.pdf","Cert")</f>
        <v>Cert</v>
      </c>
      <c r="AL81" s="58" t="str">
        <f>HYPERLINK("http://drinc.ca.gov/DNN/Portals/0/SelfCert/7e8671f6-43b5-4e85-9da7-1b922f6b6150.xlsx","Analysis")</f>
        <v>Analysis</v>
      </c>
    </row>
    <row r="82" spans="1:38" s="19" customFormat="1" ht="14.4" customHeight="1" x14ac:dyDescent="0.3">
      <c r="A82" s="12" t="s">
        <v>587</v>
      </c>
      <c r="B82" s="68" t="s">
        <v>16</v>
      </c>
      <c r="C82" s="73">
        <v>173133.25</v>
      </c>
      <c r="D82" s="14">
        <v>28727</v>
      </c>
      <c r="E82" s="14">
        <v>30261</v>
      </c>
      <c r="F82" s="18">
        <v>0</v>
      </c>
      <c r="G82" s="68" t="s">
        <v>830</v>
      </c>
      <c r="H82" s="64">
        <v>0.2</v>
      </c>
      <c r="I82" s="64">
        <v>0.12</v>
      </c>
      <c r="J82" s="64">
        <v>0.21</v>
      </c>
      <c r="K82" s="71">
        <v>0.20899082568807337</v>
      </c>
      <c r="L82" s="65">
        <v>28462.1</v>
      </c>
      <c r="M82" s="65">
        <v>26816.6</v>
      </c>
      <c r="N82" s="13">
        <v>28686</v>
      </c>
      <c r="O82" s="13">
        <v>28768</v>
      </c>
      <c r="P82" s="30" t="s">
        <v>4</v>
      </c>
      <c r="Q82" s="13">
        <v>28686</v>
      </c>
      <c r="R82" s="13">
        <v>28768</v>
      </c>
      <c r="S82" s="23">
        <v>28727</v>
      </c>
      <c r="T82" s="41"/>
      <c r="U82" s="13">
        <v>30135</v>
      </c>
      <c r="V82" s="13">
        <v>29951</v>
      </c>
      <c r="W82" s="24">
        <v>30261</v>
      </c>
      <c r="X82" s="58" t="str">
        <f>HYPERLINK("http://drinc.ca.gov/DNN/Portals/0/SelfCert/a860b799-e944-46f0-a091-1f4ff396610c.xlsx","WS1")</f>
        <v>WS1</v>
      </c>
      <c r="Y82" s="10"/>
      <c r="Z82" s="52" t="s">
        <v>31</v>
      </c>
      <c r="AA82" s="32">
        <v>-1534</v>
      </c>
      <c r="AB82" s="47">
        <v>0</v>
      </c>
      <c r="AC82" s="16" t="s">
        <v>14</v>
      </c>
      <c r="AD82" s="74" t="s">
        <v>588</v>
      </c>
      <c r="AE82" s="45"/>
      <c r="AF82" s="45"/>
      <c r="AG82" s="75"/>
      <c r="AH82" s="38" t="s">
        <v>777</v>
      </c>
      <c r="AI82" s="37" t="str">
        <f>HYPERLINK("http://drinc.ca.gov/DNN/Portals/0/SelfCert/dfd724de-f543-4896-8cc4-e778ead3f440.pdf","Legal")</f>
        <v>Legal</v>
      </c>
      <c r="AJ82" s="76"/>
      <c r="AK82" s="58" t="str">
        <f>HYPERLINK("http://drinc.ca.gov/DNN/Portals/0/SelfCert/901adc3c-4b7b-4f0e-b5d5-b3982a1ef24d.pdf","Cert")</f>
        <v>Cert</v>
      </c>
      <c r="AL82" s="58" t="str">
        <f>HYPERLINK("http://drinc.ca.gov/DNN/Portals/0/SelfCert/d45e2189-99be-45d9-9e51-ec4561ffdc02.xlsx","Analysis")</f>
        <v>Analysis</v>
      </c>
    </row>
    <row r="83" spans="1:38" s="19" customFormat="1" ht="14.4" customHeight="1" x14ac:dyDescent="0.3">
      <c r="A83" s="12" t="s">
        <v>388</v>
      </c>
      <c r="B83" s="68" t="s">
        <v>16</v>
      </c>
      <c r="C83" s="73">
        <v>96139</v>
      </c>
      <c r="D83" s="14">
        <v>25460</v>
      </c>
      <c r="E83" s="14">
        <v>25460</v>
      </c>
      <c r="F83" s="18">
        <v>0</v>
      </c>
      <c r="G83" s="68" t="s">
        <v>776</v>
      </c>
      <c r="H83" s="64">
        <v>0.32</v>
      </c>
      <c r="I83" s="64">
        <v>0.28000000000000003</v>
      </c>
      <c r="J83" s="64">
        <v>0.25</v>
      </c>
      <c r="K83" s="71">
        <v>0.19386637458926614</v>
      </c>
      <c r="L83" s="65">
        <v>25550</v>
      </c>
      <c r="M83" s="65">
        <v>25550</v>
      </c>
      <c r="N83" s="13">
        <v>25549</v>
      </c>
      <c r="O83" s="13">
        <v>25371</v>
      </c>
      <c r="P83" s="30" t="s">
        <v>4</v>
      </c>
      <c r="Q83" s="13">
        <v>25549</v>
      </c>
      <c r="R83" s="13">
        <v>25371</v>
      </c>
      <c r="S83" s="23">
        <v>25460</v>
      </c>
      <c r="T83" s="41"/>
      <c r="U83" s="13">
        <v>25460</v>
      </c>
      <c r="V83" s="13">
        <v>25460</v>
      </c>
      <c r="W83" s="24">
        <v>25460</v>
      </c>
      <c r="X83" s="58" t="str">
        <f>HYPERLINK("http://drinc.ca.gov/DNN/Portals/0/SelfCert/4a195076-8af2-4710-8500-c7d50e244807.xlsx","WS1")</f>
        <v>WS1</v>
      </c>
      <c r="Y83" s="10" t="s">
        <v>389</v>
      </c>
      <c r="Z83" s="26" t="s">
        <v>13</v>
      </c>
      <c r="AA83" s="13">
        <v>0</v>
      </c>
      <c r="AB83" s="15">
        <v>0</v>
      </c>
      <c r="AC83" s="30" t="s">
        <v>14</v>
      </c>
      <c r="AD83" s="29"/>
      <c r="AE83" s="32"/>
      <c r="AF83" s="32"/>
      <c r="AG83" s="17"/>
      <c r="AH83" s="27"/>
      <c r="AI83" s="27"/>
      <c r="AJ83" s="11"/>
      <c r="AK83" s="58" t="str">
        <f>HYPERLINK("http://drinc.ca.gov/DNN/Portals/0/SelfCert/0d4241fe-35ed-4f71-a5de-1a7d1eabb228.pdf","Cert")</f>
        <v>Cert</v>
      </c>
      <c r="AL83" s="58" t="str">
        <f>HYPERLINK("http://drinc.ca.gov/DNN/Portals/0/SelfCert/c99acaa7-4a06-4ccf-a8d3-9a99505e8091.docx","Analysis")</f>
        <v>Analysis</v>
      </c>
    </row>
    <row r="84" spans="1:38" s="19" customFormat="1" ht="14.4" customHeight="1" x14ac:dyDescent="0.3">
      <c r="A84" s="12" t="s">
        <v>86</v>
      </c>
      <c r="B84" s="68" t="s">
        <v>35</v>
      </c>
      <c r="C84" s="73">
        <v>8775.8333333333339</v>
      </c>
      <c r="D84" s="14">
        <v>1286.5999999999999</v>
      </c>
      <c r="E84" s="14">
        <v>1472</v>
      </c>
      <c r="F84" s="18">
        <v>0</v>
      </c>
      <c r="G84" s="68" t="s">
        <v>776</v>
      </c>
      <c r="H84" s="64">
        <v>0.2</v>
      </c>
      <c r="I84" s="64">
        <v>0.17</v>
      </c>
      <c r="J84" s="64">
        <v>0.33</v>
      </c>
      <c r="K84" s="71">
        <v>0.3602804102140772</v>
      </c>
      <c r="L84" s="65">
        <v>1380.2</v>
      </c>
      <c r="M84" s="65">
        <v>1380.2</v>
      </c>
      <c r="N84" s="13">
        <v>449.7</v>
      </c>
      <c r="O84" s="13">
        <v>388.8</v>
      </c>
      <c r="P84" s="30" t="s">
        <v>5</v>
      </c>
      <c r="Q84" s="13">
        <v>1380.1</v>
      </c>
      <c r="R84" s="13">
        <v>1193.2</v>
      </c>
      <c r="S84" s="23">
        <v>1286.5999999999999</v>
      </c>
      <c r="T84" s="41"/>
      <c r="U84" s="13">
        <v>1472</v>
      </c>
      <c r="V84" s="13">
        <v>1472</v>
      </c>
      <c r="W84" s="24">
        <v>1472</v>
      </c>
      <c r="X84" s="58" t="str">
        <f>HYPERLINK("https://drinc.ca.gov/DNN/Portals/0/SelfCert/f69dcb67-acb0-495f-9b9a-8c398eff00fe.xlsx","WS1")</f>
        <v>WS1</v>
      </c>
      <c r="Y84" s="10" t="s">
        <v>765</v>
      </c>
      <c r="Z84" s="26" t="s">
        <v>13</v>
      </c>
      <c r="AA84" s="13">
        <v>-185.4</v>
      </c>
      <c r="AB84" s="66">
        <v>0</v>
      </c>
      <c r="AC84" s="30" t="s">
        <v>18</v>
      </c>
      <c r="AD84" s="29" t="s">
        <v>766</v>
      </c>
      <c r="AE84" s="32"/>
      <c r="AF84" s="32"/>
      <c r="AG84" s="17"/>
      <c r="AH84" s="27"/>
      <c r="AI84" s="27"/>
      <c r="AJ84" s="11"/>
      <c r="AK84" s="58" t="str">
        <f>HYPERLINK("https://drinc.ca.gov/DNN/Portals/0/SelfCert/134a2c66-d8ae-429b-b04b-ac494ab169ad.pdf","Cert")</f>
        <v>Cert</v>
      </c>
      <c r="AL84" s="58" t="str">
        <f>HYPERLINK("https://drinc.ca.gov/DNN/Portals/0/SelfCert/ce77d70d-63ac-46ef-8c62-c6daded3b753.xlsx","Analysis")</f>
        <v>Analysis</v>
      </c>
    </row>
    <row r="85" spans="1:38" s="19" customFormat="1" ht="14.4" customHeight="1" x14ac:dyDescent="0.3">
      <c r="A85" s="12" t="s">
        <v>331</v>
      </c>
      <c r="B85" s="68" t="s">
        <v>46</v>
      </c>
      <c r="C85" s="73">
        <v>279131.66666666669</v>
      </c>
      <c r="D85" s="14">
        <v>73769.899999999994</v>
      </c>
      <c r="E85" s="14">
        <v>112591</v>
      </c>
      <c r="F85" s="18">
        <v>0</v>
      </c>
      <c r="G85" s="68" t="s">
        <v>776</v>
      </c>
      <c r="H85" s="64">
        <v>0.32</v>
      </c>
      <c r="I85" s="64">
        <v>0.28999999999999998</v>
      </c>
      <c r="J85" s="64">
        <v>0.31</v>
      </c>
      <c r="K85" s="71">
        <v>0.20485398437218671</v>
      </c>
      <c r="L85" s="65">
        <v>76032.800000000003</v>
      </c>
      <c r="M85" s="65">
        <v>76032.800000000003</v>
      </c>
      <c r="N85" s="13">
        <v>24775.4</v>
      </c>
      <c r="O85" s="13">
        <v>23300.7</v>
      </c>
      <c r="P85" s="30" t="s">
        <v>5</v>
      </c>
      <c r="Q85" s="13">
        <v>76032.800000000003</v>
      </c>
      <c r="R85" s="13">
        <v>71507.100000000006</v>
      </c>
      <c r="S85" s="23">
        <v>73769.899999999994</v>
      </c>
      <c r="T85" s="41"/>
      <c r="U85" s="13">
        <v>112591</v>
      </c>
      <c r="V85" s="13">
        <v>112591</v>
      </c>
      <c r="W85" s="24">
        <v>112591</v>
      </c>
      <c r="X85" s="58" t="str">
        <f>HYPERLINK("http://drinc.ca.gov/DNN/Portals/0/SelfCert/516f13c3-3ed8-4a5c-94d9-cffdfa07702c.xlsx","WS1")</f>
        <v>WS1</v>
      </c>
      <c r="Y85" s="10" t="s">
        <v>332</v>
      </c>
      <c r="Z85" s="26" t="s">
        <v>13</v>
      </c>
      <c r="AA85" s="13">
        <v>-38821.1</v>
      </c>
      <c r="AB85" s="66">
        <v>0</v>
      </c>
      <c r="AC85" s="30" t="s">
        <v>18</v>
      </c>
      <c r="AD85" s="29" t="s">
        <v>733</v>
      </c>
      <c r="AE85" s="32"/>
      <c r="AF85" s="32"/>
      <c r="AG85" s="17"/>
      <c r="AH85" s="27"/>
      <c r="AI85" s="27"/>
      <c r="AJ85" s="11"/>
      <c r="AK85" s="58" t="str">
        <f>HYPERLINK("http://drinc.ca.gov/DNN/Portals/0/SelfCert/91d8b995-f785-4d71-a919-474f48bf4570.pdf","Cert")</f>
        <v>Cert</v>
      </c>
      <c r="AL85" s="58" t="str">
        <f>HYPERLINK("http://drinc.ca.gov/DNN/Portals/0/SelfCert/f0b97be2-6866-49f9-9bd5-816a8329c64f.xlsx","Analysis")</f>
        <v>Analysis</v>
      </c>
    </row>
    <row r="86" spans="1:38" s="19" customFormat="1" ht="14.4" customHeight="1" x14ac:dyDescent="0.3">
      <c r="A86" s="12" t="s">
        <v>219</v>
      </c>
      <c r="B86" s="68" t="s">
        <v>27</v>
      </c>
      <c r="C86" s="73">
        <v>23318.5</v>
      </c>
      <c r="D86" s="14">
        <v>5039.7</v>
      </c>
      <c r="E86" s="14">
        <v>16320</v>
      </c>
      <c r="F86" s="18">
        <v>0</v>
      </c>
      <c r="G86" s="68" t="s">
        <v>776</v>
      </c>
      <c r="H86" s="64">
        <v>0.24</v>
      </c>
      <c r="I86" s="64">
        <v>0.21</v>
      </c>
      <c r="J86" s="64">
        <v>0.28999999999999998</v>
      </c>
      <c r="K86" s="71">
        <v>0.14907429670593897</v>
      </c>
      <c r="L86" s="65">
        <v>3717.4</v>
      </c>
      <c r="M86" s="65">
        <v>3717.4</v>
      </c>
      <c r="N86" s="13">
        <v>5401</v>
      </c>
      <c r="O86" s="13">
        <v>4678.3</v>
      </c>
      <c r="P86" s="30" t="s">
        <v>4</v>
      </c>
      <c r="Q86" s="13">
        <v>5401</v>
      </c>
      <c r="R86" s="13">
        <v>4678.3</v>
      </c>
      <c r="S86" s="23">
        <v>5039.7</v>
      </c>
      <c r="T86" s="41" t="s">
        <v>758</v>
      </c>
      <c r="U86" s="13">
        <v>16382</v>
      </c>
      <c r="V86" s="13">
        <v>16366</v>
      </c>
      <c r="W86" s="24">
        <v>16320</v>
      </c>
      <c r="X86" s="58" t="str">
        <f>HYPERLINK("https://drinc.ca.gov/DNN/Portals/0/SelfCert/be741d6a-cfd8-45f3-b8b1-6cf810ca60fa.xlsx","WS1")</f>
        <v>WS1</v>
      </c>
      <c r="Y86" s="10" t="s">
        <v>759</v>
      </c>
      <c r="Z86" s="26" t="s">
        <v>13</v>
      </c>
      <c r="AA86" s="13">
        <v>-11280.3</v>
      </c>
      <c r="AB86" s="66">
        <v>0</v>
      </c>
      <c r="AC86" s="30" t="s">
        <v>14</v>
      </c>
      <c r="AD86" s="29"/>
      <c r="AE86" s="32"/>
      <c r="AF86" s="32"/>
      <c r="AG86" s="17"/>
      <c r="AH86" s="27"/>
      <c r="AI86" s="27"/>
      <c r="AJ86" s="11"/>
      <c r="AK86" s="58" t="str">
        <f>HYPERLINK("https://drinc.ca.gov/DNN/Portals/0/SelfCert/2f34f087-bfb9-4436-b263-cf590099ca71.pdf","Cert")</f>
        <v>Cert</v>
      </c>
      <c r="AL86" s="58" t="str">
        <f>HYPERLINK("https://drinc.ca.gov/DNN/Portals/0/SelfCert/0e7f4d89-8a45-4e27-ab94-df4455673e5b.xls","Analysis")</f>
        <v>Analysis</v>
      </c>
    </row>
    <row r="87" spans="1:38" s="19" customFormat="1" ht="14.4" customHeight="1" x14ac:dyDescent="0.3">
      <c r="A87" s="12" t="s">
        <v>437</v>
      </c>
      <c r="B87" s="68" t="s">
        <v>50</v>
      </c>
      <c r="C87" s="73">
        <v>10727.083333333334</v>
      </c>
      <c r="D87" s="14">
        <v>2986.5</v>
      </c>
      <c r="E87" s="14">
        <v>6226</v>
      </c>
      <c r="F87" s="18">
        <v>0</v>
      </c>
      <c r="G87" s="68" t="s">
        <v>776</v>
      </c>
      <c r="H87" s="64">
        <v>0.28000000000000003</v>
      </c>
      <c r="I87" s="64">
        <v>0.25</v>
      </c>
      <c r="J87" s="64">
        <v>0.32</v>
      </c>
      <c r="K87" s="71">
        <v>0.28881987577639745</v>
      </c>
      <c r="L87" s="65">
        <v>3305.4</v>
      </c>
      <c r="M87" s="65">
        <v>3305.4</v>
      </c>
      <c r="N87" s="13">
        <v>1077</v>
      </c>
      <c r="O87" s="13">
        <v>869.3</v>
      </c>
      <c r="P87" s="30" t="s">
        <v>5</v>
      </c>
      <c r="Q87" s="13">
        <v>3305.3</v>
      </c>
      <c r="R87" s="13">
        <v>2667.8</v>
      </c>
      <c r="S87" s="23">
        <v>2986.5</v>
      </c>
      <c r="T87" s="41"/>
      <c r="U87" s="13">
        <v>6226</v>
      </c>
      <c r="V87" s="13">
        <v>6226</v>
      </c>
      <c r="W87" s="24">
        <v>6226</v>
      </c>
      <c r="X87" s="58" t="str">
        <f>HYPERLINK("http://drinc.ca.gov/DNN/Portals/0/SelfCert/208f32ec-f10d-4c61-879d-dd5bcb153fed.xlsx","WS1")</f>
        <v>WS1</v>
      </c>
      <c r="Y87" s="10" t="s">
        <v>438</v>
      </c>
      <c r="Z87" s="26" t="s">
        <v>13</v>
      </c>
      <c r="AA87" s="13">
        <v>-3239.5</v>
      </c>
      <c r="AB87" s="66">
        <v>0</v>
      </c>
      <c r="AC87" s="30" t="s">
        <v>18</v>
      </c>
      <c r="AD87" s="29" t="s">
        <v>712</v>
      </c>
      <c r="AE87" s="32"/>
      <c r="AF87" s="32"/>
      <c r="AG87" s="17"/>
      <c r="AH87" s="27"/>
      <c r="AI87" s="27"/>
      <c r="AJ87" s="11"/>
      <c r="AK87" s="58" t="str">
        <f>HYPERLINK("http://drinc.ca.gov/DNN/Portals/0/SelfCert/8a350c25-21d1-47fe-870a-84b72d1ca92d.pdf","Cert")</f>
        <v>Cert</v>
      </c>
      <c r="AL87" s="58" t="str">
        <f>HYPERLINK("http://drinc.ca.gov/DNN/Portals/0/SelfCert/8a5c9882-5839-4b6c-90b1-259b8b97b8bc.xlsx","Analysis")</f>
        <v>Analysis</v>
      </c>
    </row>
    <row r="88" spans="1:38" s="19" customFormat="1" ht="14.4" customHeight="1" x14ac:dyDescent="0.3">
      <c r="A88" s="12" t="s">
        <v>560</v>
      </c>
      <c r="B88" s="68" t="s">
        <v>16</v>
      </c>
      <c r="C88" s="73">
        <v>13175</v>
      </c>
      <c r="D88" s="14">
        <v>3042</v>
      </c>
      <c r="E88" s="14">
        <v>3081</v>
      </c>
      <c r="F88" s="18">
        <v>0</v>
      </c>
      <c r="G88" s="68" t="s">
        <v>776</v>
      </c>
      <c r="H88" s="64">
        <v>0.28000000000000003</v>
      </c>
      <c r="I88" s="64">
        <v>0.28000000000000003</v>
      </c>
      <c r="J88" s="64">
        <v>0.28000000000000003</v>
      </c>
      <c r="K88" s="71">
        <v>0.2593856655290101</v>
      </c>
      <c r="L88" s="65">
        <v>2962</v>
      </c>
      <c r="M88" s="65">
        <v>2962</v>
      </c>
      <c r="N88" s="13">
        <v>2962</v>
      </c>
      <c r="O88" s="13">
        <v>3122</v>
      </c>
      <c r="P88" s="30" t="s">
        <v>4</v>
      </c>
      <c r="Q88" s="13">
        <v>2962</v>
      </c>
      <c r="R88" s="13">
        <v>3122</v>
      </c>
      <c r="S88" s="23">
        <v>3042</v>
      </c>
      <c r="T88" s="41"/>
      <c r="U88" s="13">
        <v>3081</v>
      </c>
      <c r="V88" s="13">
        <v>3081</v>
      </c>
      <c r="W88" s="24">
        <v>3081</v>
      </c>
      <c r="X88" s="58" t="str">
        <f>HYPERLINK("http://drinc.ca.gov/DNN/Portals/0/SelfCert/bdc27684-fcf6-439e-9fff-81538d572b41.xlsx","WS1")</f>
        <v>WS1</v>
      </c>
      <c r="Y88" s="10"/>
      <c r="Z88" s="26" t="s">
        <v>13</v>
      </c>
      <c r="AA88" s="13">
        <v>-39</v>
      </c>
      <c r="AB88" s="66">
        <v>0</v>
      </c>
      <c r="AC88" s="30" t="s">
        <v>14</v>
      </c>
      <c r="AD88" s="29" t="s">
        <v>757</v>
      </c>
      <c r="AE88" s="32"/>
      <c r="AF88" s="32"/>
      <c r="AG88" s="17"/>
      <c r="AH88" s="27"/>
      <c r="AI88" s="27"/>
      <c r="AJ88" s="11"/>
      <c r="AK88" s="58" t="str">
        <f>HYPERLINK("http://drinc.ca.gov/DNN/Portals/0/SelfCert/55a54eee-f456-457a-b7af-ca001cae330b.pdf","Cert")</f>
        <v>Cert</v>
      </c>
      <c r="AL88" s="58" t="str">
        <f>HYPERLINK("http://drinc.ca.gov/DNN/Portals/0/SelfCert/1f8259bf-601f-4da5-abe3-84803ab6a6a0.xlsx","Analysis")</f>
        <v>Analysis</v>
      </c>
    </row>
    <row r="89" spans="1:38" s="19" customFormat="1" ht="14.4" customHeight="1" x14ac:dyDescent="0.3">
      <c r="A89" s="12" t="s">
        <v>387</v>
      </c>
      <c r="B89" s="68" t="s">
        <v>16</v>
      </c>
      <c r="C89" s="73">
        <v>218958.33333333334</v>
      </c>
      <c r="D89" s="14">
        <v>32570.5</v>
      </c>
      <c r="E89" s="14">
        <v>32570</v>
      </c>
      <c r="F89" s="18">
        <v>0</v>
      </c>
      <c r="G89" s="68" t="s">
        <v>830</v>
      </c>
      <c r="H89" s="64">
        <v>0.2</v>
      </c>
      <c r="I89" s="64">
        <v>0.12</v>
      </c>
      <c r="J89" s="64">
        <v>0.21</v>
      </c>
      <c r="K89" s="71">
        <v>0.21090062111801233</v>
      </c>
      <c r="L89" s="65">
        <v>32113.4</v>
      </c>
      <c r="M89" s="65">
        <v>32113.4</v>
      </c>
      <c r="N89" s="13">
        <v>32114</v>
      </c>
      <c r="O89" s="13">
        <v>33027</v>
      </c>
      <c r="P89" s="30" t="s">
        <v>4</v>
      </c>
      <c r="Q89" s="13">
        <v>32114</v>
      </c>
      <c r="R89" s="13">
        <v>33027</v>
      </c>
      <c r="S89" s="35">
        <v>32570.5</v>
      </c>
      <c r="T89" s="41"/>
      <c r="U89" s="13">
        <v>32570</v>
      </c>
      <c r="V89" s="13">
        <v>32570</v>
      </c>
      <c r="W89" s="24">
        <v>32570</v>
      </c>
      <c r="X89" s="58" t="str">
        <f>HYPERLINK("http://drinc.ca.gov/DNN/Portals/0/SelfCert/80021545-d016-4df2-81ec-13021747c645.xlsx","WS1")</f>
        <v>WS1</v>
      </c>
      <c r="Y89" s="10"/>
      <c r="Z89" s="52" t="s">
        <v>31</v>
      </c>
      <c r="AA89" s="32">
        <v>0.5</v>
      </c>
      <c r="AB89" s="33">
        <v>0</v>
      </c>
      <c r="AC89" s="16"/>
      <c r="AD89" s="11"/>
      <c r="AE89" s="65"/>
      <c r="AF89" s="65"/>
      <c r="AG89" s="15">
        <v>0</v>
      </c>
      <c r="AH89" s="38" t="s">
        <v>777</v>
      </c>
      <c r="AI89" s="37" t="str">
        <f>HYPERLINK("http://drinc.ca.gov/DNN/Portals/0/SelfCert/dfd724de-f543-4896-8cc4-e778ead3f440.pdf","Legal")</f>
        <v>Legal</v>
      </c>
      <c r="AJ89" s="10"/>
      <c r="AK89" s="58" t="str">
        <f>HYPERLINK("http://drinc.ca.gov/DNN/Portals/0/SelfCert/ee67d10f-5953-4f90-b80a-f1399fb788fe.pdf","Cert")</f>
        <v>Cert</v>
      </c>
      <c r="AL89" s="58" t="str">
        <f>HYPERLINK("http://drinc.ca.gov/DNN/Portals/0/SelfCert/373fec3c-3d81-42ea-a694-27b0b3d9983c.docx","Analysis")</f>
        <v>Analysis</v>
      </c>
    </row>
    <row r="90" spans="1:38" s="19" customFormat="1" ht="14.4" customHeight="1" x14ac:dyDescent="0.3">
      <c r="A90" s="12" t="s">
        <v>336</v>
      </c>
      <c r="B90" s="68" t="s">
        <v>16</v>
      </c>
      <c r="C90" s="73">
        <v>1318568</v>
      </c>
      <c r="D90" s="14">
        <v>197820</v>
      </c>
      <c r="E90" s="14">
        <v>197820</v>
      </c>
      <c r="F90" s="18">
        <v>0</v>
      </c>
      <c r="G90" s="68" t="s">
        <v>830</v>
      </c>
      <c r="H90" s="64">
        <v>0.16</v>
      </c>
      <c r="I90" s="64">
        <v>0.08</v>
      </c>
      <c r="J90" s="64">
        <v>0.18</v>
      </c>
      <c r="K90" s="71">
        <v>0.19592986310812399</v>
      </c>
      <c r="L90" s="65">
        <v>192233.9</v>
      </c>
      <c r="M90" s="65">
        <v>191214.5</v>
      </c>
      <c r="N90" s="13">
        <v>196558</v>
      </c>
      <c r="O90" s="13">
        <v>199082</v>
      </c>
      <c r="P90" s="30" t="s">
        <v>4</v>
      </c>
      <c r="Q90" s="13">
        <v>196558</v>
      </c>
      <c r="R90" s="13">
        <v>199082</v>
      </c>
      <c r="S90" s="23">
        <v>197820</v>
      </c>
      <c r="T90" s="41"/>
      <c r="U90" s="13">
        <v>197820</v>
      </c>
      <c r="V90" s="13">
        <v>197821</v>
      </c>
      <c r="W90" s="24">
        <v>197820</v>
      </c>
      <c r="X90" s="58" t="str">
        <f>HYPERLINK("http://drinc.ca.gov/DNN/Portals/0/SelfCert/06c338f3-4746-438d-b042-e64a2e24f221.xlsx","WS1")</f>
        <v>WS1</v>
      </c>
      <c r="Y90" s="10"/>
      <c r="Z90" s="52" t="s">
        <v>31</v>
      </c>
      <c r="AA90" s="32">
        <v>0</v>
      </c>
      <c r="AB90" s="47">
        <v>0</v>
      </c>
      <c r="AC90" s="16" t="s">
        <v>14</v>
      </c>
      <c r="AD90" s="74"/>
      <c r="AE90" s="45"/>
      <c r="AF90" s="45"/>
      <c r="AG90" s="75"/>
      <c r="AH90" s="38" t="s">
        <v>777</v>
      </c>
      <c r="AI90" s="37" t="str">
        <f>HYPERLINK("http://drinc.ca.gov/DNN/Portals/0/SelfCert/dfd724de-f543-4896-8cc4-e778ead3f440.pdf","Legal")</f>
        <v>Legal</v>
      </c>
      <c r="AJ90" s="76"/>
      <c r="AK90" s="58" t="str">
        <f>HYPERLINK("http://drinc.ca.gov/DNN/Portals/0/SelfCert/06506274-d592-4af6-8271-33c95a927f9e.pdf","Cert")</f>
        <v>Cert</v>
      </c>
      <c r="AL90" s="58" t="str">
        <f>HYPERLINK("http://drinc.ca.gov/DNN/Portals/0/SelfCert/cc8eef63-a0da-4d31-b0db-0ffd3afc5c7b.docx","Analysis")</f>
        <v>Analysis</v>
      </c>
    </row>
    <row r="91" spans="1:38" s="19" customFormat="1" ht="14.4" customHeight="1" x14ac:dyDescent="0.3">
      <c r="A91" s="12" t="s">
        <v>634</v>
      </c>
      <c r="B91" s="68" t="s">
        <v>35</v>
      </c>
      <c r="C91" s="73">
        <v>32776</v>
      </c>
      <c r="D91" s="14">
        <v>4736.5</v>
      </c>
      <c r="E91" s="14">
        <v>15171</v>
      </c>
      <c r="F91" s="18">
        <v>0</v>
      </c>
      <c r="G91" s="68" t="s">
        <v>776</v>
      </c>
      <c r="H91" s="64">
        <v>0.28000000000000003</v>
      </c>
      <c r="I91" s="64">
        <v>0.25</v>
      </c>
      <c r="J91" s="64">
        <v>0.28000000000000003</v>
      </c>
      <c r="K91" s="71">
        <v>0.22752519764834989</v>
      </c>
      <c r="L91" s="65">
        <v>5038.7</v>
      </c>
      <c r="M91" s="65">
        <v>5038.7</v>
      </c>
      <c r="N91" s="13">
        <v>5030</v>
      </c>
      <c r="O91" s="13">
        <v>4443</v>
      </c>
      <c r="P91" s="30" t="s">
        <v>4</v>
      </c>
      <c r="Q91" s="13">
        <v>5030</v>
      </c>
      <c r="R91" s="13">
        <v>4443</v>
      </c>
      <c r="S91" s="23">
        <v>4736.5</v>
      </c>
      <c r="T91" s="41" t="s">
        <v>635</v>
      </c>
      <c r="U91" s="13">
        <v>15171</v>
      </c>
      <c r="V91" s="13">
        <v>15171</v>
      </c>
      <c r="W91" s="24">
        <v>15171</v>
      </c>
      <c r="X91" s="58" t="str">
        <f>HYPERLINK("http://drinc.ca.gov/DNN/Portals/0/SelfCert/714a4058-4381-4799-a6b2-6ff72469a7c2.xlsx","WS1")</f>
        <v>WS1</v>
      </c>
      <c r="Y91" s="10" t="s">
        <v>636</v>
      </c>
      <c r="Z91" s="26" t="s">
        <v>13</v>
      </c>
      <c r="AA91" s="13">
        <v>-10434.5</v>
      </c>
      <c r="AB91" s="66">
        <v>0</v>
      </c>
      <c r="AC91" s="30" t="s">
        <v>18</v>
      </c>
      <c r="AD91" s="29" t="s">
        <v>637</v>
      </c>
      <c r="AE91" s="32"/>
      <c r="AF91" s="32"/>
      <c r="AG91" s="17"/>
      <c r="AH91" s="27"/>
      <c r="AI91" s="27"/>
      <c r="AJ91" s="11"/>
      <c r="AK91" s="58" t="str">
        <f>HYPERLINK("http://drinc.ca.gov/DNN/Portals/0/SelfCert/a5d1c051-3790-480e-923e-5510c1e9cec8.pdf","Cert")</f>
        <v>Cert</v>
      </c>
      <c r="AL91" s="58" t="str">
        <f>HYPERLINK("http://drinc.ca.gov/DNN/Portals/0/SelfCert/f569d32b-f81a-444f-b913-d024f29c73b8.doc","Analysis")</f>
        <v>Analysis</v>
      </c>
    </row>
    <row r="92" spans="1:38" s="19" customFormat="1" ht="14.4" customHeight="1" x14ac:dyDescent="0.3">
      <c r="A92" s="12" t="s">
        <v>410</v>
      </c>
      <c r="B92" s="68" t="s">
        <v>27</v>
      </c>
      <c r="C92" s="73">
        <v>221335.66666666666</v>
      </c>
      <c r="D92" s="14">
        <v>59542</v>
      </c>
      <c r="E92" s="14">
        <v>47781</v>
      </c>
      <c r="F92" s="18">
        <v>0.2</v>
      </c>
      <c r="G92" s="68" t="s">
        <v>776</v>
      </c>
      <c r="H92" s="64">
        <v>0.36</v>
      </c>
      <c r="I92" s="64">
        <v>0.33</v>
      </c>
      <c r="J92" s="64">
        <v>0.3</v>
      </c>
      <c r="K92" s="71">
        <v>0.26970508361775392</v>
      </c>
      <c r="L92" s="65">
        <v>63092.7</v>
      </c>
      <c r="M92" s="65">
        <v>63092.7</v>
      </c>
      <c r="N92" s="13">
        <v>62954</v>
      </c>
      <c r="O92" s="13">
        <v>56130</v>
      </c>
      <c r="P92" s="30" t="s">
        <v>4</v>
      </c>
      <c r="Q92" s="13">
        <v>62954</v>
      </c>
      <c r="R92" s="13">
        <v>56130</v>
      </c>
      <c r="S92" s="23">
        <v>59542</v>
      </c>
      <c r="T92" s="41"/>
      <c r="U92" s="13">
        <v>61638</v>
      </c>
      <c r="V92" s="13">
        <v>57698</v>
      </c>
      <c r="W92" s="24">
        <v>47781</v>
      </c>
      <c r="X92" s="58" t="str">
        <f>HYPERLINK("http://drinc.ca.gov/DNN/Portals/0/SelfCert/0afcac45-c44d-406d-9fd0-486c3da2c6e1.xlsx","WS1")</f>
        <v>WS1</v>
      </c>
      <c r="Y92" s="10"/>
      <c r="Z92" s="26" t="s">
        <v>13</v>
      </c>
      <c r="AA92" s="13">
        <v>11761</v>
      </c>
      <c r="AB92" s="15">
        <v>0.2</v>
      </c>
      <c r="AC92" s="30" t="s">
        <v>18</v>
      </c>
      <c r="AD92" s="29" t="s">
        <v>411</v>
      </c>
      <c r="AE92" s="32"/>
      <c r="AF92" s="32"/>
      <c r="AG92" s="17"/>
      <c r="AH92" s="27"/>
      <c r="AI92" s="27"/>
      <c r="AJ92" s="11"/>
      <c r="AK92" s="58" t="str">
        <f>HYPERLINK("http://drinc.ca.gov/DNN/Portals/0/SelfCert/d39fe2c2-dd35-4053-8a93-3c45daeb88fe.pdf","Cert")</f>
        <v>Cert</v>
      </c>
      <c r="AL92" s="58" t="str">
        <f>HYPERLINK("http://drinc.ca.gov/DNN/Portals/0/SelfCert/109d3127-53fb-4065-a229-d857fb62c991.xlsx","Analysis")</f>
        <v>Analysis</v>
      </c>
    </row>
    <row r="93" spans="1:38" s="19" customFormat="1" ht="14.4" customHeight="1" x14ac:dyDescent="0.3">
      <c r="A93" s="59" t="s">
        <v>586</v>
      </c>
      <c r="B93" s="68" t="s">
        <v>23</v>
      </c>
      <c r="C93" s="73">
        <v>9514</v>
      </c>
      <c r="D93" s="14">
        <v>1628</v>
      </c>
      <c r="E93" s="14">
        <v>1888</v>
      </c>
      <c r="F93" s="18">
        <v>0</v>
      </c>
      <c r="G93" s="68" t="s">
        <v>804</v>
      </c>
      <c r="H93" s="64">
        <v>0.28000000000000003</v>
      </c>
      <c r="I93" s="64">
        <v>0.2</v>
      </c>
      <c r="J93" s="64">
        <v>0.24</v>
      </c>
      <c r="K93" s="71">
        <v>0.10840730754082462</v>
      </c>
      <c r="L93" s="65">
        <v>1681.6</v>
      </c>
      <c r="M93" s="65">
        <v>1681.6</v>
      </c>
      <c r="N93" s="60">
        <v>1681.5</v>
      </c>
      <c r="O93" s="60">
        <v>1574.3</v>
      </c>
      <c r="P93" s="62" t="s">
        <v>4</v>
      </c>
      <c r="Q93" s="60">
        <v>1681.5</v>
      </c>
      <c r="R93" s="60">
        <v>1574.3</v>
      </c>
      <c r="S93" s="61">
        <v>1627.9</v>
      </c>
      <c r="T93" s="41" t="s">
        <v>794</v>
      </c>
      <c r="U93" s="13">
        <v>2156.6</v>
      </c>
      <c r="V93" s="13">
        <v>2117.8000000000002</v>
      </c>
      <c r="W93" s="24">
        <v>1887.9</v>
      </c>
      <c r="X93" s="58" t="str">
        <f>HYPERLINK("http://drinc.ca.gov/DNN/Portals/0/SelfCert/c6bf40db-aed6-4e4f-a687-e9612395968d.xlsx","WS1")</f>
        <v>WS1</v>
      </c>
      <c r="Y93" s="10"/>
      <c r="Z93" s="26" t="s">
        <v>13</v>
      </c>
      <c r="AA93" s="13">
        <v>-260</v>
      </c>
      <c r="AB93" s="66">
        <v>0</v>
      </c>
      <c r="AC93" s="30" t="s">
        <v>18</v>
      </c>
      <c r="AD93" s="29" t="s">
        <v>795</v>
      </c>
      <c r="AE93" s="32"/>
      <c r="AF93" s="32"/>
      <c r="AG93" s="17"/>
      <c r="AH93" s="27"/>
      <c r="AI93" s="27"/>
      <c r="AJ93" s="11" t="s">
        <v>796</v>
      </c>
      <c r="AK93" s="58" t="str">
        <f>HYPERLINK("http://drinc.ca.gov/DNN/Portals/0/SelfCert/df7138fb-65b7-4914-8adf-6ff555938d07.PDF","Cert")</f>
        <v>Cert</v>
      </c>
      <c r="AL93" s="58" t="str">
        <f>HYPERLINK("http://drinc.ca.gov/DNN/Portals/0/SelfCert/ab53a581-0f65-409d-915c-6f006325b513.xlsx","Analysis")</f>
        <v>Analysis</v>
      </c>
    </row>
    <row r="94" spans="1:38" s="19" customFormat="1" ht="14.4" customHeight="1" x14ac:dyDescent="0.3">
      <c r="A94" s="12" t="s">
        <v>102</v>
      </c>
      <c r="B94" s="68" t="s">
        <v>27</v>
      </c>
      <c r="C94" s="73">
        <v>29450</v>
      </c>
      <c r="D94" s="14">
        <v>4730</v>
      </c>
      <c r="E94" s="14">
        <v>17533</v>
      </c>
      <c r="F94" s="18">
        <v>0</v>
      </c>
      <c r="G94" s="68" t="s">
        <v>776</v>
      </c>
      <c r="H94" s="64">
        <v>0.24</v>
      </c>
      <c r="I94" s="64">
        <v>0.21</v>
      </c>
      <c r="J94" s="64">
        <v>0.3</v>
      </c>
      <c r="K94" s="71">
        <v>0.21710097719869703</v>
      </c>
      <c r="L94" s="65">
        <v>5389.6</v>
      </c>
      <c r="M94" s="65">
        <v>5389.6</v>
      </c>
      <c r="N94" s="13">
        <v>5620</v>
      </c>
      <c r="O94" s="13">
        <v>3840</v>
      </c>
      <c r="P94" s="30" t="s">
        <v>4</v>
      </c>
      <c r="Q94" s="13">
        <v>5620</v>
      </c>
      <c r="R94" s="13">
        <v>3840</v>
      </c>
      <c r="S94" s="23">
        <v>4730</v>
      </c>
      <c r="T94" s="41"/>
      <c r="U94" s="13">
        <v>17533</v>
      </c>
      <c r="V94" s="13">
        <v>17533</v>
      </c>
      <c r="W94" s="24">
        <v>17533</v>
      </c>
      <c r="X94" s="58" t="str">
        <f>HYPERLINK("http://drinc.ca.gov/DNN/Portals/0/SelfCert/f5110fbd-fb3e-484d-a150-852ed2bafe44.xlsx","WS1")</f>
        <v>WS1</v>
      </c>
      <c r="Y94" s="10"/>
      <c r="Z94" s="26" t="s">
        <v>13</v>
      </c>
      <c r="AA94" s="13">
        <v>-12803</v>
      </c>
      <c r="AB94" s="66">
        <v>0</v>
      </c>
      <c r="AC94" s="30"/>
      <c r="AD94" s="29"/>
      <c r="AE94" s="32"/>
      <c r="AF94" s="32"/>
      <c r="AG94" s="17"/>
      <c r="AH94" s="27"/>
      <c r="AI94" s="27"/>
      <c r="AJ94" s="11"/>
      <c r="AK94" s="58" t="str">
        <f>HYPERLINK("http://drinc.ca.gov/DNN/Portals/0/SelfCert/e1596602-652a-4642-8e3b-c2bf512fb0fe.pdf","Cert")</f>
        <v>Cert</v>
      </c>
      <c r="AL94" s="58" t="str">
        <f>HYPERLINK("http://drinc.ca.gov/DNN/Portals/0/SelfCert/c680c2a3-5485-4765-82ef-48239231eb3b.docx","Analysis")</f>
        <v>Analysis</v>
      </c>
    </row>
    <row r="95" spans="1:38" s="19" customFormat="1" ht="14.4" customHeight="1" x14ac:dyDescent="0.3">
      <c r="A95" s="12" t="s">
        <v>240</v>
      </c>
      <c r="B95" s="68" t="s">
        <v>50</v>
      </c>
      <c r="C95" s="73">
        <v>174980.08333333334</v>
      </c>
      <c r="D95" s="14">
        <v>39190.5</v>
      </c>
      <c r="E95" s="14">
        <v>53000</v>
      </c>
      <c r="F95" s="18">
        <v>0</v>
      </c>
      <c r="G95" s="68" t="s">
        <v>776</v>
      </c>
      <c r="H95" s="64">
        <v>0.32</v>
      </c>
      <c r="I95" s="64">
        <v>0.24</v>
      </c>
      <c r="J95" s="64">
        <v>0.34</v>
      </c>
      <c r="K95" s="71">
        <v>0.19387536143164685</v>
      </c>
      <c r="L95" s="65">
        <v>40645.300000000003</v>
      </c>
      <c r="M95" s="65">
        <v>40645.300000000003</v>
      </c>
      <c r="N95" s="13">
        <v>42670</v>
      </c>
      <c r="O95" s="13">
        <v>35711</v>
      </c>
      <c r="P95" s="30" t="s">
        <v>4</v>
      </c>
      <c r="Q95" s="13">
        <v>42670</v>
      </c>
      <c r="R95" s="13">
        <v>35711</v>
      </c>
      <c r="S95" s="23">
        <v>39190.5</v>
      </c>
      <c r="T95" s="41" t="s">
        <v>241</v>
      </c>
      <c r="U95" s="13">
        <v>62550</v>
      </c>
      <c r="V95" s="13">
        <v>56903</v>
      </c>
      <c r="W95" s="24">
        <v>53000</v>
      </c>
      <c r="X95" s="58" t="str">
        <f>HYPERLINK("https://drinc.ca.gov/DNN/Portals/0/SelfCert/5fb3adaf-9f12-44fb-8a55-2f500c3ed6b5.xlsx","WS1")</f>
        <v>WS1</v>
      </c>
      <c r="Y95" s="10" t="s">
        <v>241</v>
      </c>
      <c r="Z95" s="26" t="s">
        <v>13</v>
      </c>
      <c r="AA95" s="13">
        <v>-13809.5</v>
      </c>
      <c r="AB95" s="66">
        <v>0</v>
      </c>
      <c r="AC95" s="30" t="s">
        <v>18</v>
      </c>
      <c r="AD95" s="29" t="s">
        <v>242</v>
      </c>
      <c r="AE95" s="32"/>
      <c r="AF95" s="32"/>
      <c r="AG95" s="17"/>
      <c r="AH95" s="27"/>
      <c r="AI95" s="27"/>
      <c r="AJ95" s="11"/>
      <c r="AK95" s="58" t="str">
        <f>HYPERLINK("https://drinc.ca.gov/DNN/Portals/0/SelfCert/e007000e-6182-4e5c-81f2-3a7054b0a84b.pdf","Cert")</f>
        <v>Cert</v>
      </c>
      <c r="AL95" s="58" t="str">
        <f>HYPERLINK("https://drinc.ca.gov/DNN/Portals/0/SelfCert/94bfc380-eafb-4fe0-8a52-b49e618622ab.xlsx","Analysis")</f>
        <v>Analysis</v>
      </c>
    </row>
    <row r="96" spans="1:38" s="19" customFormat="1" ht="14.4" customHeight="1" x14ac:dyDescent="0.3">
      <c r="A96" s="12" t="s">
        <v>217</v>
      </c>
      <c r="B96" s="68" t="s">
        <v>50</v>
      </c>
      <c r="C96" s="73">
        <v>44243.75</v>
      </c>
      <c r="D96" s="14">
        <v>7125.7</v>
      </c>
      <c r="E96" s="14">
        <v>7125.7</v>
      </c>
      <c r="F96" s="18">
        <v>0</v>
      </c>
      <c r="G96" s="68" t="s">
        <v>776</v>
      </c>
      <c r="H96" s="64">
        <v>0.28000000000000003</v>
      </c>
      <c r="I96" s="64">
        <v>0.25</v>
      </c>
      <c r="J96" s="64">
        <v>0.35</v>
      </c>
      <c r="K96" s="71">
        <v>0.24626544609263745</v>
      </c>
      <c r="L96" s="65">
        <v>7836.9</v>
      </c>
      <c r="M96" s="65">
        <v>7836.9</v>
      </c>
      <c r="N96" s="13">
        <v>7836.9</v>
      </c>
      <c r="O96" s="13">
        <v>6414.5</v>
      </c>
      <c r="P96" s="30" t="s">
        <v>4</v>
      </c>
      <c r="Q96" s="13">
        <v>7836.9</v>
      </c>
      <c r="R96" s="13">
        <v>6414.4</v>
      </c>
      <c r="S96" s="23">
        <v>7125.7</v>
      </c>
      <c r="T96" s="41"/>
      <c r="U96" s="13">
        <v>7125.6679999999997</v>
      </c>
      <c r="V96" s="13">
        <v>7125.7</v>
      </c>
      <c r="W96" s="24">
        <v>7125.7</v>
      </c>
      <c r="X96" s="58" t="str">
        <f>HYPERLINK("http://www.drinc.ca.gov/DNN/Portals/0/SelfCert/7157b479-90b0-4b7e-b60c-81272367c53c.xlsx","WS1")</f>
        <v>WS1</v>
      </c>
      <c r="Y96" s="10"/>
      <c r="Z96" s="26" t="s">
        <v>13</v>
      </c>
      <c r="AA96" s="13">
        <v>0</v>
      </c>
      <c r="AB96" s="15">
        <v>0</v>
      </c>
      <c r="AC96" s="30" t="s">
        <v>14</v>
      </c>
      <c r="AD96" s="29"/>
      <c r="AE96" s="32"/>
      <c r="AF96" s="32"/>
      <c r="AG96" s="17"/>
      <c r="AH96" s="27"/>
      <c r="AI96" s="27"/>
      <c r="AJ96" s="11"/>
      <c r="AK96" s="58" t="str">
        <f>HYPERLINK("http://www.drinc.ca.gov/DNN/Portals/0/SelfCert/72313d52-0fbd-4aa9-a57b-6f4ad9873ef9.PDF","Cert")</f>
        <v>Cert</v>
      </c>
      <c r="AL96" s="58" t="str">
        <f>HYPERLINK("http://www.drinc.ca.gov/DNN/Portals/0/SelfCert/5ac75a1c-68c1-49c8-ad80-144cc65114ff.xlsx","Analysis")</f>
        <v>Analysis</v>
      </c>
    </row>
    <row r="97" spans="1:38" s="19" customFormat="1" ht="14.4" customHeight="1" x14ac:dyDescent="0.3">
      <c r="A97" s="12" t="s">
        <v>208</v>
      </c>
      <c r="B97" s="68" t="s">
        <v>16</v>
      </c>
      <c r="C97" s="73">
        <v>45036</v>
      </c>
      <c r="D97" s="14">
        <v>10216.5</v>
      </c>
      <c r="E97" s="14">
        <v>10217</v>
      </c>
      <c r="F97" s="18">
        <v>0</v>
      </c>
      <c r="G97" s="68" t="s">
        <v>776</v>
      </c>
      <c r="H97" s="64">
        <v>0.28000000000000003</v>
      </c>
      <c r="I97" s="64">
        <v>0.25</v>
      </c>
      <c r="J97" s="64">
        <v>0.27</v>
      </c>
      <c r="K97" s="71">
        <v>0.2131192260129483</v>
      </c>
      <c r="L97" s="65">
        <v>10561.4</v>
      </c>
      <c r="M97" s="65">
        <v>10561.4</v>
      </c>
      <c r="N97" s="13">
        <v>10561</v>
      </c>
      <c r="O97" s="13">
        <v>9872</v>
      </c>
      <c r="P97" s="30" t="s">
        <v>4</v>
      </c>
      <c r="Q97" s="13">
        <v>10561</v>
      </c>
      <c r="R97" s="13">
        <v>9872</v>
      </c>
      <c r="S97" s="23">
        <v>10216.5</v>
      </c>
      <c r="T97" s="41"/>
      <c r="U97" s="13">
        <v>10217</v>
      </c>
      <c r="V97" s="13">
        <v>10217</v>
      </c>
      <c r="W97" s="24">
        <v>10217</v>
      </c>
      <c r="X97" s="58" t="str">
        <f>HYPERLINK("http://drinc.ca.gov/DNN/Portals/0/SelfCert/775762ec-6da2-41b2-9372-3425fa5f48bb.xlsx","WS1")</f>
        <v>WS1</v>
      </c>
      <c r="Y97" s="10" t="s">
        <v>209</v>
      </c>
      <c r="Z97" s="26" t="s">
        <v>13</v>
      </c>
      <c r="AA97" s="13">
        <v>-0.5</v>
      </c>
      <c r="AB97" s="15">
        <v>0</v>
      </c>
      <c r="AC97" s="30" t="s">
        <v>14</v>
      </c>
      <c r="AD97" s="29"/>
      <c r="AE97" s="32"/>
      <c r="AF97" s="32"/>
      <c r="AG97" s="17"/>
      <c r="AH97" s="27"/>
      <c r="AI97" s="27"/>
      <c r="AJ97" s="11"/>
      <c r="AK97" s="58" t="str">
        <f>HYPERLINK("http://drinc.ca.gov/DNN/Portals/0/SelfCert/909eaac6-1194-4cbd-b7dc-b9221f0e12b1.pdf","Cert")</f>
        <v>Cert</v>
      </c>
      <c r="AL97" s="58" t="str">
        <f>HYPERLINK("http://drinc.ca.gov/DNN/Portals/0/SelfCert/e00d08c6-908d-4e2a-ae1e-ef9e8dae8480.docx","Analysis")</f>
        <v>Analysis</v>
      </c>
    </row>
    <row r="98" spans="1:38" s="19" customFormat="1" ht="14.4" customHeight="1" x14ac:dyDescent="0.3">
      <c r="A98" s="12" t="s">
        <v>258</v>
      </c>
      <c r="B98" s="68" t="s">
        <v>16</v>
      </c>
      <c r="C98" s="73">
        <v>118607.33333333333</v>
      </c>
      <c r="D98" s="14">
        <v>30348</v>
      </c>
      <c r="E98" s="14">
        <v>30348</v>
      </c>
      <c r="F98" s="18">
        <v>0</v>
      </c>
      <c r="G98" s="68" t="s">
        <v>776</v>
      </c>
      <c r="H98" s="64">
        <v>0.24</v>
      </c>
      <c r="I98" s="64">
        <v>0.21</v>
      </c>
      <c r="J98" s="64">
        <v>0.3</v>
      </c>
      <c r="K98" s="71">
        <v>0.26720266508142976</v>
      </c>
      <c r="L98" s="65">
        <v>31607.599999999999</v>
      </c>
      <c r="M98" s="65">
        <v>31607.599999999999</v>
      </c>
      <c r="N98" s="13">
        <v>31608</v>
      </c>
      <c r="O98" s="13">
        <v>29088</v>
      </c>
      <c r="P98" s="30" t="s">
        <v>4</v>
      </c>
      <c r="Q98" s="13">
        <v>31608</v>
      </c>
      <c r="R98" s="13">
        <v>29088</v>
      </c>
      <c r="S98" s="23">
        <v>30348</v>
      </c>
      <c r="T98" s="41" t="s">
        <v>259</v>
      </c>
      <c r="U98" s="13">
        <v>30348</v>
      </c>
      <c r="V98" s="13">
        <v>30348</v>
      </c>
      <c r="W98" s="24">
        <v>30348</v>
      </c>
      <c r="X98" s="58" t="str">
        <f>HYPERLINK("https://drinc.ca.gov/DNN/Portals/0/SelfCert/2636fea8-c87f-4217-9010-406725392f71.xlsx","WS1")</f>
        <v>WS1</v>
      </c>
      <c r="Y98" s="10" t="s">
        <v>260</v>
      </c>
      <c r="Z98" s="26" t="s">
        <v>13</v>
      </c>
      <c r="AA98" s="13">
        <v>0</v>
      </c>
      <c r="AB98" s="15">
        <v>0</v>
      </c>
      <c r="AC98" s="30" t="s">
        <v>14</v>
      </c>
      <c r="AD98" s="29"/>
      <c r="AE98" s="32"/>
      <c r="AF98" s="32"/>
      <c r="AG98" s="17"/>
      <c r="AH98" s="27"/>
      <c r="AI98" s="27"/>
      <c r="AJ98" s="11"/>
      <c r="AK98" s="58" t="str">
        <f>HYPERLINK("https://drinc.ca.gov/DNN/Portals/0/SelfCert/c9fb1ad2-c1b4-478c-8343-3187317cf748.pdf","Cert")</f>
        <v>Cert</v>
      </c>
      <c r="AL98" s="58" t="str">
        <f>HYPERLINK("https://drinc.ca.gov/DNN/Portals/0/SelfCert/6df744d7-3b0e-4888-981b-9ce946f45f9a.xlsx","Analysis")</f>
        <v>Analysis</v>
      </c>
    </row>
    <row r="99" spans="1:38" s="19" customFormat="1" ht="14.4" customHeight="1" x14ac:dyDescent="0.3">
      <c r="A99" s="12" t="s">
        <v>477</v>
      </c>
      <c r="B99" s="68" t="s">
        <v>16</v>
      </c>
      <c r="C99" s="73">
        <v>122064</v>
      </c>
      <c r="D99" s="14">
        <v>28563</v>
      </c>
      <c r="E99" s="14">
        <v>28563</v>
      </c>
      <c r="F99" s="18">
        <v>0</v>
      </c>
      <c r="G99" s="68" t="s">
        <v>776</v>
      </c>
      <c r="H99" s="64">
        <v>0.32</v>
      </c>
      <c r="I99" s="64">
        <v>0.28000000000000003</v>
      </c>
      <c r="J99" s="64">
        <v>0.28000000000000003</v>
      </c>
      <c r="K99" s="71">
        <v>0.22276264591439687</v>
      </c>
      <c r="L99" s="65">
        <v>29596</v>
      </c>
      <c r="M99" s="65">
        <v>29596</v>
      </c>
      <c r="N99" s="13">
        <v>29596</v>
      </c>
      <c r="O99" s="13">
        <v>27530</v>
      </c>
      <c r="P99" s="30" t="s">
        <v>4</v>
      </c>
      <c r="Q99" s="13">
        <v>29596</v>
      </c>
      <c r="R99" s="13">
        <v>27530</v>
      </c>
      <c r="S99" s="23">
        <v>28563</v>
      </c>
      <c r="T99" s="41"/>
      <c r="U99" s="13">
        <v>28563</v>
      </c>
      <c r="V99" s="13">
        <v>28563</v>
      </c>
      <c r="W99" s="24">
        <v>28563</v>
      </c>
      <c r="X99" s="58" t="str">
        <f>HYPERLINK("http://drinc.ca.gov/DNN/Portals/0/SelfCert/346675ef-9298-4869-ae0e-748476dca7ca.xlsx","WS1")</f>
        <v>WS1</v>
      </c>
      <c r="Y99" s="10"/>
      <c r="Z99" s="26" t="s">
        <v>13</v>
      </c>
      <c r="AA99" s="13">
        <v>0</v>
      </c>
      <c r="AB99" s="15">
        <v>0</v>
      </c>
      <c r="AC99" s="30" t="s">
        <v>14</v>
      </c>
      <c r="AD99" s="29"/>
      <c r="AE99" s="32"/>
      <c r="AF99" s="32"/>
      <c r="AG99" s="17"/>
      <c r="AH99" s="27"/>
      <c r="AI99" s="27"/>
      <c r="AJ99" s="11"/>
      <c r="AK99" s="58" t="str">
        <f>HYPERLINK("http://drinc.ca.gov/DNN/Portals/0/SelfCert/8455fc99-932a-4aa3-acf8-62c3a1ac0026.pdf","Cert")</f>
        <v>Cert</v>
      </c>
      <c r="AL99" s="58" t="str">
        <f>HYPERLINK("http://drinc.ca.gov/DNN/Portals/0/SelfCert/a1d2a2f0-79be-4800-810f-f5d709622876.docx","Analysis")</f>
        <v>Analysis</v>
      </c>
    </row>
    <row r="100" spans="1:38" s="19" customFormat="1" ht="14.4" customHeight="1" x14ac:dyDescent="0.3">
      <c r="A100" s="12" t="s">
        <v>81</v>
      </c>
      <c r="B100" s="68" t="s">
        <v>16</v>
      </c>
      <c r="C100" s="73">
        <v>158614.91666666666</v>
      </c>
      <c r="D100" s="14">
        <v>16097.8</v>
      </c>
      <c r="E100" s="14">
        <v>16772</v>
      </c>
      <c r="F100" s="18">
        <v>0</v>
      </c>
      <c r="G100" s="68" t="s">
        <v>776</v>
      </c>
      <c r="H100" s="64">
        <v>0.08</v>
      </c>
      <c r="I100" s="64">
        <v>0.08</v>
      </c>
      <c r="J100" s="64">
        <v>0.15</v>
      </c>
      <c r="K100" s="71">
        <v>0.15578830547270595</v>
      </c>
      <c r="L100" s="65">
        <v>16292.6</v>
      </c>
      <c r="M100" s="65">
        <v>16292.6</v>
      </c>
      <c r="N100" s="13">
        <v>5309</v>
      </c>
      <c r="O100" s="13">
        <v>5182</v>
      </c>
      <c r="P100" s="30" t="s">
        <v>5</v>
      </c>
      <c r="Q100" s="13">
        <v>16292.7</v>
      </c>
      <c r="R100" s="13">
        <v>15902.9</v>
      </c>
      <c r="S100" s="23">
        <v>16097.8</v>
      </c>
      <c r="T100" s="41"/>
      <c r="U100" s="13">
        <v>17894</v>
      </c>
      <c r="V100" s="13">
        <v>16772</v>
      </c>
      <c r="W100" s="24">
        <v>16772</v>
      </c>
      <c r="X100" s="58" t="str">
        <f>HYPERLINK("http://drinc.ca.gov/DNN/Portals/0/SelfCert/e0615edc-6fed-49b6-be52-6f84cd5dd97d.xlsx","WS1")</f>
        <v>WS1</v>
      </c>
      <c r="Y100" s="10" t="s">
        <v>68</v>
      </c>
      <c r="Z100" s="26" t="s">
        <v>13</v>
      </c>
      <c r="AA100" s="13">
        <v>-674.2</v>
      </c>
      <c r="AB100" s="66">
        <v>0</v>
      </c>
      <c r="AC100" s="30" t="s">
        <v>18</v>
      </c>
      <c r="AD100" s="29" t="s">
        <v>734</v>
      </c>
      <c r="AE100" s="32"/>
      <c r="AF100" s="32"/>
      <c r="AG100" s="17"/>
      <c r="AH100" s="27"/>
      <c r="AI100" s="27"/>
      <c r="AJ100" s="11"/>
      <c r="AK100" s="58" t="str">
        <f>HYPERLINK("http://drinc.ca.gov/DNN/Portals/0/SelfCert/881da7e8-5dcd-4882-aa64-5487eddf3a38.pdf","Cert")</f>
        <v>Cert</v>
      </c>
      <c r="AL100" s="58" t="str">
        <f>HYPERLINK("http://drinc.ca.gov/DNN/Portals/0/SelfCert/6b54043b-3b04-4429-9f9c-6cf6cdfb861c.xlsx","Analysis")</f>
        <v>Analysis</v>
      </c>
    </row>
    <row r="101" spans="1:38" s="19" customFormat="1" ht="14.4" customHeight="1" x14ac:dyDescent="0.3">
      <c r="A101" s="12" t="s">
        <v>360</v>
      </c>
      <c r="B101" s="68" t="s">
        <v>46</v>
      </c>
      <c r="C101" s="73">
        <v>10552.166666666666</v>
      </c>
      <c r="D101" s="14">
        <v>2344.4</v>
      </c>
      <c r="E101" s="14">
        <v>1847.3</v>
      </c>
      <c r="F101" s="18">
        <v>0.21</v>
      </c>
      <c r="G101" s="68" t="s">
        <v>776</v>
      </c>
      <c r="H101" s="64">
        <v>0.36</v>
      </c>
      <c r="I101" s="64">
        <v>0.34</v>
      </c>
      <c r="J101" s="64">
        <v>0.27</v>
      </c>
      <c r="K101" s="71">
        <v>0.2823538746938361</v>
      </c>
      <c r="L101" s="65">
        <v>2464.3000000000002</v>
      </c>
      <c r="M101" s="65">
        <v>2464.3000000000002</v>
      </c>
      <c r="N101" s="13">
        <v>2464.3000000000002</v>
      </c>
      <c r="O101" s="13">
        <v>2224.5</v>
      </c>
      <c r="P101" s="30" t="s">
        <v>4</v>
      </c>
      <c r="Q101" s="13">
        <v>2464.3000000000002</v>
      </c>
      <c r="R101" s="13">
        <v>2224.5</v>
      </c>
      <c r="S101" s="23">
        <v>2344.4</v>
      </c>
      <c r="T101" s="41"/>
      <c r="U101" s="13">
        <v>2422.3000000000002</v>
      </c>
      <c r="V101" s="13">
        <v>2283.4</v>
      </c>
      <c r="W101" s="24">
        <v>1847.3</v>
      </c>
      <c r="X101" s="58" t="str">
        <f>HYPERLINK("http://www.drinc.ca.gov/DNN/Portals/0/SelfCert/83a76025-76e3-4399-9aad-96c77f96a83c.xls","WS1")</f>
        <v>WS1</v>
      </c>
      <c r="Y101" s="10"/>
      <c r="Z101" s="26" t="s">
        <v>13</v>
      </c>
      <c r="AA101" s="13">
        <v>497.1</v>
      </c>
      <c r="AB101" s="15">
        <v>0.21</v>
      </c>
      <c r="AC101" s="30" t="s">
        <v>14</v>
      </c>
      <c r="AD101" s="29"/>
      <c r="AE101" s="32"/>
      <c r="AF101" s="32"/>
      <c r="AG101" s="17"/>
      <c r="AH101" s="27"/>
      <c r="AI101" s="27"/>
      <c r="AJ101" s="11"/>
      <c r="AK101" s="58" t="str">
        <f>HYPERLINK("http://www.drinc.ca.gov/DNN/Portals/0/SelfCert/26867538-3c14-4557-a950-7344a4007dac.pdf","Cert")</f>
        <v>Cert</v>
      </c>
      <c r="AL101" s="58" t="str">
        <f>HYPERLINK("http://www.drinc.ca.gov/DNN/Portals/0/SelfCert/6cab0aff-8af9-4014-9604-d76db280f0f6.xlsx","Analysis")</f>
        <v>Analysis</v>
      </c>
    </row>
    <row r="102" spans="1:38" s="19" customFormat="1" ht="14.4" customHeight="1" x14ac:dyDescent="0.3">
      <c r="A102" s="12" t="s">
        <v>342</v>
      </c>
      <c r="B102" s="68" t="s">
        <v>50</v>
      </c>
      <c r="C102" s="73">
        <v>8324</v>
      </c>
      <c r="D102" s="14">
        <v>2507.3000000000002</v>
      </c>
      <c r="E102" s="14">
        <v>6138</v>
      </c>
      <c r="F102" s="18">
        <v>0</v>
      </c>
      <c r="G102" s="68" t="s">
        <v>776</v>
      </c>
      <c r="H102" s="64">
        <v>0.36</v>
      </c>
      <c r="I102" s="64">
        <v>0.33</v>
      </c>
      <c r="J102" s="64">
        <v>0.25</v>
      </c>
      <c r="K102" s="71">
        <v>0.12123413529336358</v>
      </c>
      <c r="L102" s="65">
        <v>2520.8000000000002</v>
      </c>
      <c r="M102" s="65">
        <v>2520.8000000000002</v>
      </c>
      <c r="N102" s="13">
        <v>821</v>
      </c>
      <c r="O102" s="13">
        <v>813</v>
      </c>
      <c r="P102" s="30" t="s">
        <v>5</v>
      </c>
      <c r="Q102" s="13">
        <v>2519.6</v>
      </c>
      <c r="R102" s="13">
        <v>2495</v>
      </c>
      <c r="S102" s="23">
        <v>2507.3000000000002</v>
      </c>
      <c r="T102" s="41"/>
      <c r="U102" s="13">
        <v>6138</v>
      </c>
      <c r="V102" s="13">
        <v>6138</v>
      </c>
      <c r="W102" s="24">
        <v>6138</v>
      </c>
      <c r="X102" s="58" t="str">
        <f>HYPERLINK("http://drinc.ca.gov/DNN/Portals/0/SelfCert/9a1971c2-56a9-4b76-8c75-a510a3d30f76.xlsx","WS1")</f>
        <v>WS1</v>
      </c>
      <c r="Y102" s="10"/>
      <c r="Z102" s="26" t="s">
        <v>13</v>
      </c>
      <c r="AA102" s="13">
        <v>-3630.7</v>
      </c>
      <c r="AB102" s="66">
        <v>0</v>
      </c>
      <c r="AC102" s="30" t="s">
        <v>14</v>
      </c>
      <c r="AD102" s="29"/>
      <c r="AE102" s="32"/>
      <c r="AF102" s="32"/>
      <c r="AG102" s="17"/>
      <c r="AH102" s="27"/>
      <c r="AI102" s="27"/>
      <c r="AJ102" s="11"/>
      <c r="AK102" s="58" t="str">
        <f>HYPERLINK("http://drinc.ca.gov/DNN/Portals/0/SelfCert/0ff165bd-d3a1-46f4-b2fa-a6d1540f88ab.pdf","Cert")</f>
        <v>Cert</v>
      </c>
      <c r="AL102" s="58" t="str">
        <f>HYPERLINK("http://drinc.ca.gov/DNN/Portals/0/SelfCert/fc0153c3-9d57-4c6c-8916-804246fde946.pdf","Analysis")</f>
        <v>Analysis</v>
      </c>
    </row>
    <row r="103" spans="1:38" s="19" customFormat="1" ht="14.4" customHeight="1" x14ac:dyDescent="0.3">
      <c r="A103" s="12" t="s">
        <v>145</v>
      </c>
      <c r="B103" s="68" t="s">
        <v>58</v>
      </c>
      <c r="C103" s="73">
        <v>7767.5</v>
      </c>
      <c r="D103" s="14">
        <v>787</v>
      </c>
      <c r="E103" s="14">
        <v>1137</v>
      </c>
      <c r="F103" s="18">
        <v>0</v>
      </c>
      <c r="G103" s="68" t="s">
        <v>776</v>
      </c>
      <c r="H103" s="64">
        <v>0.16</v>
      </c>
      <c r="I103" s="64">
        <v>0.16</v>
      </c>
      <c r="J103" s="64">
        <v>0.23</v>
      </c>
      <c r="K103" s="71">
        <v>0.24186046511627912</v>
      </c>
      <c r="L103" s="65">
        <v>842.9</v>
      </c>
      <c r="M103" s="65">
        <v>842.9</v>
      </c>
      <c r="N103" s="13">
        <v>843</v>
      </c>
      <c r="O103" s="13">
        <v>731</v>
      </c>
      <c r="P103" s="30" t="s">
        <v>4</v>
      </c>
      <c r="Q103" s="13">
        <v>843</v>
      </c>
      <c r="R103" s="13">
        <v>731</v>
      </c>
      <c r="S103" s="23">
        <v>787</v>
      </c>
      <c r="T103" s="41"/>
      <c r="U103" s="13">
        <v>1137</v>
      </c>
      <c r="V103" s="13">
        <v>1137</v>
      </c>
      <c r="W103" s="24">
        <v>1137</v>
      </c>
      <c r="X103" s="58" t="str">
        <f>HYPERLINK("http://drinc.ca.gov/DNN/Portals/0/SelfCert/68d37634-f4a4-4a81-8b6c-e0300c8ec4f7.xls","WS1")</f>
        <v>WS1</v>
      </c>
      <c r="Y103" s="10" t="s">
        <v>773</v>
      </c>
      <c r="Z103" s="26" t="s">
        <v>13</v>
      </c>
      <c r="AA103" s="13">
        <v>-350</v>
      </c>
      <c r="AB103" s="66">
        <v>0</v>
      </c>
      <c r="AC103" s="30" t="s">
        <v>14</v>
      </c>
      <c r="AD103" s="29" t="s">
        <v>146</v>
      </c>
      <c r="AE103" s="32"/>
      <c r="AF103" s="32"/>
      <c r="AG103" s="17"/>
      <c r="AH103" s="27"/>
      <c r="AI103" s="27"/>
      <c r="AJ103" s="11"/>
      <c r="AK103" s="58" t="str">
        <f>HYPERLINK("http://drinc.ca.gov/DNN/Portals/0/SelfCert/8f02413b-2f4c-47fe-9633-e4b426ab1745.pdf","Cert")</f>
        <v>Cert</v>
      </c>
      <c r="AL103" s="58" t="str">
        <f>HYPERLINK("http://drinc.ca.gov/DNN/Portals/0/SelfCert/c9af8867-1907-4e9b-b1b1-a36aee977cfb.doc","Analysis")</f>
        <v>Analysis</v>
      </c>
    </row>
    <row r="104" spans="1:38" s="19" customFormat="1" ht="14.4" customHeight="1" x14ac:dyDescent="0.3">
      <c r="A104" s="12" t="s">
        <v>341</v>
      </c>
      <c r="B104" s="68" t="s">
        <v>46</v>
      </c>
      <c r="C104" s="73">
        <v>139435.75</v>
      </c>
      <c r="D104" s="14">
        <v>31143.1</v>
      </c>
      <c r="E104" s="14">
        <v>82507</v>
      </c>
      <c r="F104" s="18">
        <v>0</v>
      </c>
      <c r="G104" s="68" t="s">
        <v>776</v>
      </c>
      <c r="H104" s="64">
        <v>0.32</v>
      </c>
      <c r="I104" s="64">
        <v>0.28999999999999998</v>
      </c>
      <c r="J104" s="64">
        <v>0.26</v>
      </c>
      <c r="K104" s="71">
        <v>0.23012463537523209</v>
      </c>
      <c r="L104" s="65">
        <v>32600.1</v>
      </c>
      <c r="M104" s="65">
        <v>32600.1</v>
      </c>
      <c r="N104" s="13">
        <v>10622.8</v>
      </c>
      <c r="O104" s="13">
        <v>9673.2999999999993</v>
      </c>
      <c r="P104" s="30" t="s">
        <v>5</v>
      </c>
      <c r="Q104" s="13">
        <v>32600.1</v>
      </c>
      <c r="R104" s="13">
        <v>29686.2</v>
      </c>
      <c r="S104" s="23">
        <v>31143.1</v>
      </c>
      <c r="T104" s="41"/>
      <c r="U104" s="13">
        <v>82507</v>
      </c>
      <c r="V104" s="13">
        <v>82507</v>
      </c>
      <c r="W104" s="24">
        <v>82507</v>
      </c>
      <c r="X104" s="58" t="str">
        <f>HYPERLINK("http://drinc.ca.gov/DNN/Portals/0/SelfCert/75f3fd1f-eb59-43f3-b7e1-b58fd8728364.xlsx","WS1")</f>
        <v>WS1</v>
      </c>
      <c r="Y104" s="10" t="s">
        <v>68</v>
      </c>
      <c r="Z104" s="26" t="s">
        <v>13</v>
      </c>
      <c r="AA104" s="13">
        <v>-51363.9</v>
      </c>
      <c r="AB104" s="66">
        <v>0</v>
      </c>
      <c r="AC104" s="30" t="s">
        <v>18</v>
      </c>
      <c r="AD104" s="29" t="s">
        <v>737</v>
      </c>
      <c r="AE104" s="32"/>
      <c r="AF104" s="32"/>
      <c r="AG104" s="17"/>
      <c r="AH104" s="27"/>
      <c r="AI104" s="27"/>
      <c r="AJ104" s="11"/>
      <c r="AK104" s="58" t="str">
        <f>HYPERLINK("http://drinc.ca.gov/DNN/Portals/0/SelfCert/9062586b-0ab1-4731-a800-b37c8be4033a.pdf","Cert")</f>
        <v>Cert</v>
      </c>
      <c r="AL104" s="58" t="str">
        <f>HYPERLINK("http://drinc.ca.gov/DNN/Portals/0/SelfCert/e305530f-b634-4daf-95e6-4fc59b02ddbd.xlsx","Analysis")</f>
        <v>Analysis</v>
      </c>
    </row>
    <row r="105" spans="1:38" s="19" customFormat="1" ht="14.4" customHeight="1" x14ac:dyDescent="0.3">
      <c r="A105" s="12" t="s">
        <v>430</v>
      </c>
      <c r="B105" s="68" t="s">
        <v>46</v>
      </c>
      <c r="C105" s="73">
        <v>25011.5</v>
      </c>
      <c r="D105" s="14">
        <v>5643.3</v>
      </c>
      <c r="E105" s="14">
        <v>16839</v>
      </c>
      <c r="F105" s="18">
        <v>0</v>
      </c>
      <c r="G105" s="68" t="s">
        <v>776</v>
      </c>
      <c r="H105" s="64">
        <v>0.32</v>
      </c>
      <c r="I105" s="64">
        <v>0.3</v>
      </c>
      <c r="J105" s="64">
        <v>0.4</v>
      </c>
      <c r="K105" s="71">
        <v>0.38455240174672478</v>
      </c>
      <c r="L105" s="65">
        <v>6113</v>
      </c>
      <c r="M105" s="65">
        <v>6113</v>
      </c>
      <c r="N105" s="13">
        <v>1992</v>
      </c>
      <c r="O105" s="13">
        <v>1685.8</v>
      </c>
      <c r="P105" s="30" t="s">
        <v>5</v>
      </c>
      <c r="Q105" s="13">
        <v>6113.1</v>
      </c>
      <c r="R105" s="13">
        <v>5173.5</v>
      </c>
      <c r="S105" s="23">
        <v>5643.3</v>
      </c>
      <c r="T105" s="41"/>
      <c r="U105" s="13">
        <v>16839</v>
      </c>
      <c r="V105" s="13">
        <v>16839</v>
      </c>
      <c r="W105" s="24">
        <v>16839</v>
      </c>
      <c r="X105" s="58" t="str">
        <f>HYPERLINK("http://drinc.ca.gov/DNN/Portals/0/SelfCert/cd4640ae-af27-4fd0-ac3e-4730b7d8e3e6.xlsx","WS1")</f>
        <v>WS1</v>
      </c>
      <c r="Y105" s="10" t="s">
        <v>68</v>
      </c>
      <c r="Z105" s="26" t="s">
        <v>13</v>
      </c>
      <c r="AA105" s="13">
        <v>-11195.7</v>
      </c>
      <c r="AB105" s="66">
        <v>0</v>
      </c>
      <c r="AC105" s="30" t="s">
        <v>18</v>
      </c>
      <c r="AD105" s="29" t="s">
        <v>735</v>
      </c>
      <c r="AE105" s="32"/>
      <c r="AF105" s="32"/>
      <c r="AG105" s="17"/>
      <c r="AH105" s="27"/>
      <c r="AI105" s="27"/>
      <c r="AJ105" s="11"/>
      <c r="AK105" s="58" t="str">
        <f>HYPERLINK("http://drinc.ca.gov/DNN/Portals/0/SelfCert/0f6ad773-389a-4d61-9601-e25cf3eb498e.pdf","Cert")</f>
        <v>Cert</v>
      </c>
      <c r="AL105" s="58" t="str">
        <f>HYPERLINK("http://drinc.ca.gov/DNN/Portals/0/SelfCert/b5e18ace-5b0c-4fe7-aaea-bc77aa0e6eb8.xlsx","Analysis")</f>
        <v>Analysis</v>
      </c>
    </row>
    <row r="106" spans="1:38" s="19" customFormat="1" ht="14.4" customHeight="1" x14ac:dyDescent="0.3">
      <c r="A106" s="12" t="s">
        <v>177</v>
      </c>
      <c r="B106" s="68" t="s">
        <v>50</v>
      </c>
      <c r="C106" s="73">
        <v>103136.75</v>
      </c>
      <c r="D106" s="14">
        <v>25495.1</v>
      </c>
      <c r="E106" s="14">
        <v>73030</v>
      </c>
      <c r="F106" s="18">
        <v>0</v>
      </c>
      <c r="G106" s="68" t="s">
        <v>776</v>
      </c>
      <c r="H106" s="64">
        <v>0.32</v>
      </c>
      <c r="I106" s="64">
        <v>0.28999999999999998</v>
      </c>
      <c r="J106" s="64">
        <v>0.38</v>
      </c>
      <c r="K106" s="71">
        <v>0.33604610658982237</v>
      </c>
      <c r="L106" s="65">
        <v>27445.9</v>
      </c>
      <c r="M106" s="65">
        <v>27445.9</v>
      </c>
      <c r="N106" s="13">
        <v>8943.2999999999993</v>
      </c>
      <c r="O106" s="13">
        <v>7671.9</v>
      </c>
      <c r="P106" s="30" t="s">
        <v>5</v>
      </c>
      <c r="Q106" s="13">
        <v>27445.9</v>
      </c>
      <c r="R106" s="13">
        <v>23544.2</v>
      </c>
      <c r="S106" s="23">
        <v>25495.1</v>
      </c>
      <c r="T106" s="41"/>
      <c r="U106" s="13">
        <v>73030</v>
      </c>
      <c r="V106" s="13">
        <v>73030</v>
      </c>
      <c r="W106" s="24">
        <v>73030</v>
      </c>
      <c r="X106" s="58" t="str">
        <f>HYPERLINK("http://drinc.ca.gov/DNN/Portals/0/SelfCert/607e68af-d123-4414-9d5b-5ec635f6d570.xlsx","WS1")</f>
        <v>WS1</v>
      </c>
      <c r="Y106" s="10" t="s">
        <v>68</v>
      </c>
      <c r="Z106" s="26" t="s">
        <v>13</v>
      </c>
      <c r="AA106" s="13">
        <v>-47534.9</v>
      </c>
      <c r="AB106" s="66">
        <v>0</v>
      </c>
      <c r="AC106" s="30" t="s">
        <v>18</v>
      </c>
      <c r="AD106" s="29" t="s">
        <v>712</v>
      </c>
      <c r="AE106" s="32"/>
      <c r="AF106" s="32"/>
      <c r="AG106" s="17"/>
      <c r="AH106" s="27"/>
      <c r="AI106" s="27"/>
      <c r="AJ106" s="11"/>
      <c r="AK106" s="58" t="str">
        <f>HYPERLINK("http://drinc.ca.gov/DNN/Portals/0/SelfCert/856922dc-e4b4-4084-8434-005d8b80dbcf.pdf","Cert")</f>
        <v>Cert</v>
      </c>
      <c r="AL106" s="58" t="str">
        <f>HYPERLINK("http://drinc.ca.gov/DNN/Portals/0/SelfCert/0020095b-60ff-495f-8461-cc564e44fa70.xlsx","Analysis")</f>
        <v>Analysis</v>
      </c>
    </row>
    <row r="107" spans="1:38" s="19" customFormat="1" ht="14.4" customHeight="1" x14ac:dyDescent="0.3">
      <c r="A107" s="12" t="s">
        <v>248</v>
      </c>
      <c r="B107" s="68" t="s">
        <v>16</v>
      </c>
      <c r="C107" s="73">
        <v>102187</v>
      </c>
      <c r="D107" s="14">
        <v>20665.5</v>
      </c>
      <c r="E107" s="14">
        <v>22295</v>
      </c>
      <c r="F107" s="18">
        <v>0</v>
      </c>
      <c r="G107" s="68" t="s">
        <v>776</v>
      </c>
      <c r="H107" s="64">
        <v>0.28000000000000003</v>
      </c>
      <c r="I107" s="64">
        <v>0.22</v>
      </c>
      <c r="J107" s="64">
        <v>0.25</v>
      </c>
      <c r="K107" s="71">
        <v>0.31393123289313318</v>
      </c>
      <c r="L107" s="65">
        <v>21816.400000000001</v>
      </c>
      <c r="M107" s="65">
        <v>21816.400000000001</v>
      </c>
      <c r="N107" s="13">
        <v>21397</v>
      </c>
      <c r="O107" s="13">
        <v>19934</v>
      </c>
      <c r="P107" s="30" t="s">
        <v>4</v>
      </c>
      <c r="Q107" s="13">
        <v>21397</v>
      </c>
      <c r="R107" s="13">
        <v>19934</v>
      </c>
      <c r="S107" s="23">
        <v>20665.5</v>
      </c>
      <c r="T107" s="41" t="s">
        <v>249</v>
      </c>
      <c r="U107" s="13">
        <v>20489</v>
      </c>
      <c r="V107" s="13">
        <v>18425</v>
      </c>
      <c r="W107" s="24">
        <v>22295</v>
      </c>
      <c r="X107" s="58" t="str">
        <f>HYPERLINK("http://www.drinc.ca.gov/DNN/Portals/0/SelfCert/dccff3d9-334c-46de-8196-1f7d6e138589.xlsx","WS1")</f>
        <v>WS1</v>
      </c>
      <c r="Y107" s="10" t="s">
        <v>250</v>
      </c>
      <c r="Z107" s="26" t="s">
        <v>13</v>
      </c>
      <c r="AA107" s="13">
        <v>-1629.5</v>
      </c>
      <c r="AB107" s="66">
        <v>0</v>
      </c>
      <c r="AC107" s="30" t="s">
        <v>18</v>
      </c>
      <c r="AD107" s="29" t="s">
        <v>251</v>
      </c>
      <c r="AE107" s="32"/>
      <c r="AF107" s="32"/>
      <c r="AG107" s="17"/>
      <c r="AH107" s="27"/>
      <c r="AI107" s="27"/>
      <c r="AJ107" s="11"/>
      <c r="AK107" s="58" t="str">
        <f>HYPERLINK("http://www.drinc.ca.gov/DNN/Portals/0/SelfCert/ed4ad37e-0603-4ead-870c-562e68ec5fbe.pdf","Cert")</f>
        <v>Cert</v>
      </c>
      <c r="AL107" s="58" t="str">
        <f>HYPERLINK("http://www.drinc.ca.gov/DNN/Portals/0/SelfCert/1b15b81e-65c6-41dc-81ff-5a352d6b74b8.xlsx","Analysis")</f>
        <v>Analysis</v>
      </c>
    </row>
    <row r="108" spans="1:38" s="19" customFormat="1" ht="14.4" customHeight="1" x14ac:dyDescent="0.3">
      <c r="A108" s="12" t="s">
        <v>72</v>
      </c>
      <c r="B108" s="68" t="s">
        <v>40</v>
      </c>
      <c r="C108" s="73">
        <v>68094.583333333328</v>
      </c>
      <c r="D108" s="14">
        <v>13997.3</v>
      </c>
      <c r="E108" s="14">
        <v>13723</v>
      </c>
      <c r="F108" s="18">
        <v>0.02</v>
      </c>
      <c r="G108" s="68" t="s">
        <v>776</v>
      </c>
      <c r="H108" s="64">
        <v>0.36</v>
      </c>
      <c r="I108" s="64">
        <v>0.36</v>
      </c>
      <c r="J108" s="64">
        <v>0.37</v>
      </c>
      <c r="K108" s="71">
        <v>0.27484507688776683</v>
      </c>
      <c r="L108" s="65">
        <v>14813.3</v>
      </c>
      <c r="M108" s="65">
        <v>14813.3</v>
      </c>
      <c r="N108" s="13">
        <v>4826.8999999999996</v>
      </c>
      <c r="O108" s="13">
        <v>4295.2</v>
      </c>
      <c r="P108" s="30" t="s">
        <v>5</v>
      </c>
      <c r="Q108" s="13">
        <v>14813.2</v>
      </c>
      <c r="R108" s="13">
        <v>13181.3</v>
      </c>
      <c r="S108" s="23">
        <v>13997.3</v>
      </c>
      <c r="T108" s="41"/>
      <c r="U108" s="13">
        <v>13723</v>
      </c>
      <c r="V108" s="13">
        <v>13723</v>
      </c>
      <c r="W108" s="24">
        <v>13723</v>
      </c>
      <c r="X108" s="58" t="str">
        <f>HYPERLINK("http://drinc.ca.gov/DNN/Portals/0/SelfCert/28a98905-bdc8-4e6f-a3b4-6130ef914a6b.xlsx","WS1")</f>
        <v>WS1</v>
      </c>
      <c r="Y108" s="10" t="s">
        <v>73</v>
      </c>
      <c r="Z108" s="26" t="s">
        <v>13</v>
      </c>
      <c r="AA108" s="13">
        <v>274.3</v>
      </c>
      <c r="AB108" s="15">
        <v>0.02</v>
      </c>
      <c r="AC108" s="30" t="s">
        <v>18</v>
      </c>
      <c r="AD108" s="29" t="s">
        <v>738</v>
      </c>
      <c r="AE108" s="32"/>
      <c r="AF108" s="32"/>
      <c r="AG108" s="17"/>
      <c r="AH108" s="27"/>
      <c r="AI108" s="27"/>
      <c r="AJ108" s="11"/>
      <c r="AK108" s="58" t="str">
        <f>HYPERLINK("http://drinc.ca.gov/DNN/Portals/0/SelfCert/3d8f5a9b-acfb-4111-8e50-b0f2c7a7e0a0.pdf","Cert")</f>
        <v>Cert</v>
      </c>
      <c r="AL108" s="58" t="str">
        <f>HYPERLINK("http://drinc.ca.gov/DNN/Portals/0/SelfCert/722fd4c7-01bc-4793-bf7a-4c88d8446ef1.xlsx","Analysis")</f>
        <v>Analysis</v>
      </c>
    </row>
    <row r="109" spans="1:38" s="19" customFormat="1" ht="14.4" customHeight="1" x14ac:dyDescent="0.3">
      <c r="A109" s="12" t="s">
        <v>350</v>
      </c>
      <c r="B109" s="68" t="s">
        <v>16</v>
      </c>
      <c r="C109" s="73">
        <v>82759.416666666672</v>
      </c>
      <c r="D109" s="14">
        <v>14960</v>
      </c>
      <c r="E109" s="14">
        <v>149655</v>
      </c>
      <c r="F109" s="18">
        <v>0</v>
      </c>
      <c r="G109" s="68" t="s">
        <v>798</v>
      </c>
      <c r="H109" s="64">
        <v>0.2</v>
      </c>
      <c r="I109" s="64">
        <v>0.13</v>
      </c>
      <c r="J109" s="64">
        <v>0.23</v>
      </c>
      <c r="K109" s="71">
        <v>0.22623828647925026</v>
      </c>
      <c r="L109" s="65">
        <v>15346</v>
      </c>
      <c r="M109" s="65">
        <v>15346</v>
      </c>
      <c r="N109" s="13">
        <v>15345</v>
      </c>
      <c r="O109" s="13">
        <v>14575</v>
      </c>
      <c r="P109" s="30" t="s">
        <v>4</v>
      </c>
      <c r="Q109" s="13">
        <v>15345</v>
      </c>
      <c r="R109" s="13">
        <v>14575</v>
      </c>
      <c r="S109" s="23">
        <v>14960</v>
      </c>
      <c r="T109" s="41"/>
      <c r="U109" s="13">
        <v>14960</v>
      </c>
      <c r="V109" s="13">
        <v>14960</v>
      </c>
      <c r="W109" s="24">
        <v>14960</v>
      </c>
      <c r="X109" s="58" t="str">
        <f>HYPERLINK("http://drinc.ca.gov/DNN/Portals/0/SelfCert/b8f342e1-2c14-4c36-8eeb-66f77af1aa56.xlsx","WS1")</f>
        <v>WS1</v>
      </c>
      <c r="Y109" s="10"/>
      <c r="Z109" s="26" t="s">
        <v>13</v>
      </c>
      <c r="AA109" s="13">
        <v>0</v>
      </c>
      <c r="AB109" s="15">
        <v>0</v>
      </c>
      <c r="AC109" s="30" t="s">
        <v>18</v>
      </c>
      <c r="AD109" s="29" t="s">
        <v>351</v>
      </c>
      <c r="AE109" s="32"/>
      <c r="AF109" s="32"/>
      <c r="AG109" s="17"/>
      <c r="AH109" s="27"/>
      <c r="AI109" s="27"/>
      <c r="AJ109" s="11"/>
      <c r="AK109" s="58" t="str">
        <f>HYPERLINK("http://drinc.ca.gov/DNN/Portals/0/SelfCert/e2e5bbf7-658f-4d11-a973-b8f76d902a91.pdf","Cert")</f>
        <v>Cert</v>
      </c>
      <c r="AL109" s="58" t="str">
        <f>HYPERLINK("http://drinc.ca.gov/DNN/Portals/0/SelfCert/da05c21f-61d9-4b67-ad1f-b9f8f1961797.xlsx","Analysis")</f>
        <v>Analysis</v>
      </c>
    </row>
    <row r="110" spans="1:38" s="19" customFormat="1" ht="14.4" customHeight="1" x14ac:dyDescent="0.3">
      <c r="A110" s="12" t="s">
        <v>608</v>
      </c>
      <c r="B110" s="68" t="s">
        <v>16</v>
      </c>
      <c r="C110" s="73">
        <v>94666.166666666672</v>
      </c>
      <c r="D110" s="14">
        <v>8230.5</v>
      </c>
      <c r="E110" s="14">
        <v>11183</v>
      </c>
      <c r="F110" s="18">
        <v>0</v>
      </c>
      <c r="G110" s="68" t="s">
        <v>776</v>
      </c>
      <c r="H110" s="64">
        <v>0.12</v>
      </c>
      <c r="I110" s="64">
        <v>0.08</v>
      </c>
      <c r="J110" s="64">
        <v>0.11</v>
      </c>
      <c r="K110" s="71">
        <v>0.19006211180124222</v>
      </c>
      <c r="L110" s="65">
        <v>8379.7999999999993</v>
      </c>
      <c r="M110" s="65">
        <v>8379.7999999999993</v>
      </c>
      <c r="N110" s="13">
        <v>8380</v>
      </c>
      <c r="O110" s="13">
        <v>8081</v>
      </c>
      <c r="P110" s="30" t="s">
        <v>4</v>
      </c>
      <c r="Q110" s="13">
        <v>8380</v>
      </c>
      <c r="R110" s="13">
        <v>8081</v>
      </c>
      <c r="S110" s="23">
        <v>8230.5</v>
      </c>
      <c r="T110" s="41" t="s">
        <v>609</v>
      </c>
      <c r="U110" s="13">
        <v>9183</v>
      </c>
      <c r="V110" s="13">
        <v>9183</v>
      </c>
      <c r="W110" s="24">
        <v>11183</v>
      </c>
      <c r="X110" s="58" t="str">
        <f>HYPERLINK("http://drinc.ca.gov/DNN/Portals/0/SelfCert/bbe7c591-06d3-4983-b9b6-4691fb593875.xlsx","WS1")</f>
        <v>WS1</v>
      </c>
      <c r="Y110" s="10" t="s">
        <v>610</v>
      </c>
      <c r="Z110" s="26" t="s">
        <v>13</v>
      </c>
      <c r="AA110" s="13">
        <v>-2952.5</v>
      </c>
      <c r="AB110" s="66">
        <v>0</v>
      </c>
      <c r="AC110" s="30" t="s">
        <v>14</v>
      </c>
      <c r="AD110" s="29"/>
      <c r="AE110" s="32"/>
      <c r="AF110" s="32"/>
      <c r="AG110" s="17"/>
      <c r="AH110" s="27"/>
      <c r="AI110" s="27"/>
      <c r="AJ110" s="11"/>
      <c r="AK110" s="58" t="str">
        <f>HYPERLINK("http://drinc.ca.gov/DNN/Portals/0/SelfCert/ff7ca1f1-016b-49bc-9e8e-03a175547dc9.pdf","Cert")</f>
        <v>Cert</v>
      </c>
      <c r="AL110" s="58" t="str">
        <f>HYPERLINK("http://drinc.ca.gov/DNN/Portals/0/SelfCert/632f8a8a-bfe0-42b0-97ce-bd4666ecbbb4.xlsx","Analysis")</f>
        <v>Analysis</v>
      </c>
    </row>
    <row r="111" spans="1:38" s="19" customFormat="1" ht="14.4" customHeight="1" x14ac:dyDescent="0.3">
      <c r="A111" s="12" t="s">
        <v>124</v>
      </c>
      <c r="B111" s="68" t="s">
        <v>40</v>
      </c>
      <c r="C111" s="73">
        <v>10850</v>
      </c>
      <c r="D111" s="14">
        <v>3536.6</v>
      </c>
      <c r="E111" s="14">
        <v>3536.6</v>
      </c>
      <c r="F111" s="18">
        <v>0</v>
      </c>
      <c r="G111" s="68" t="s">
        <v>776</v>
      </c>
      <c r="H111" s="64">
        <v>0.36</v>
      </c>
      <c r="I111" s="64">
        <v>0.36</v>
      </c>
      <c r="J111" s="64">
        <v>0.41</v>
      </c>
      <c r="K111" s="71">
        <v>0.33353094766583846</v>
      </c>
      <c r="L111" s="65">
        <v>3974.1</v>
      </c>
      <c r="M111" s="65">
        <v>3974.1</v>
      </c>
      <c r="N111" s="13">
        <v>1265.3</v>
      </c>
      <c r="O111" s="13">
        <v>1039.5</v>
      </c>
      <c r="P111" s="30" t="s">
        <v>5</v>
      </c>
      <c r="Q111" s="13">
        <v>3883.1</v>
      </c>
      <c r="R111" s="13">
        <v>3190.1</v>
      </c>
      <c r="S111" s="23">
        <v>3536.6</v>
      </c>
      <c r="T111" s="41" t="s">
        <v>125</v>
      </c>
      <c r="U111" s="13">
        <v>3536.5810526558198</v>
      </c>
      <c r="V111" s="13">
        <v>3536.6</v>
      </c>
      <c r="W111" s="24">
        <v>3536.6</v>
      </c>
      <c r="X111" s="58" t="str">
        <f>HYPERLINK("http://drinc.ca.gov/DNN/Portals/0/SelfCert/79ba3b8e-0a6a-467d-a0fc-ce9dc90411f5.xlsx","WS1")</f>
        <v>WS1</v>
      </c>
      <c r="Y111" s="10" t="s">
        <v>125</v>
      </c>
      <c r="Z111" s="26" t="s">
        <v>13</v>
      </c>
      <c r="AA111" s="13">
        <v>0</v>
      </c>
      <c r="AB111" s="15">
        <v>0</v>
      </c>
      <c r="AC111" s="30" t="s">
        <v>18</v>
      </c>
      <c r="AD111" s="29" t="s">
        <v>126</v>
      </c>
      <c r="AE111" s="32"/>
      <c r="AF111" s="32"/>
      <c r="AG111" s="17"/>
      <c r="AH111" s="27"/>
      <c r="AI111" s="27"/>
      <c r="AJ111" s="11"/>
      <c r="AK111" s="58" t="str">
        <f>HYPERLINK("http://drinc.ca.gov/DNN/Portals/0/SelfCert/b8983344-616e-4cb7-a9d8-f141abad64f3.pdf","Cert")</f>
        <v>Cert</v>
      </c>
      <c r="AL111" s="63" t="s">
        <v>793</v>
      </c>
    </row>
    <row r="112" spans="1:38" s="19" customFormat="1" ht="14.4" customHeight="1" x14ac:dyDescent="0.3">
      <c r="A112" s="12" t="s">
        <v>288</v>
      </c>
      <c r="B112" s="68" t="s">
        <v>50</v>
      </c>
      <c r="C112" s="73">
        <v>9970.6666666666661</v>
      </c>
      <c r="D112" s="14">
        <v>1492.6</v>
      </c>
      <c r="E112" s="14">
        <v>4097</v>
      </c>
      <c r="F112" s="18">
        <v>0</v>
      </c>
      <c r="G112" s="68" t="s">
        <v>776</v>
      </c>
      <c r="H112" s="64">
        <v>0.28000000000000003</v>
      </c>
      <c r="I112" s="64">
        <v>0.24</v>
      </c>
      <c r="J112" s="64">
        <v>0.28999999999999998</v>
      </c>
      <c r="K112" s="71">
        <v>0.30363223609534618</v>
      </c>
      <c r="L112" s="65">
        <v>1547</v>
      </c>
      <c r="M112" s="65">
        <v>1547</v>
      </c>
      <c r="N112" s="13">
        <v>504.1</v>
      </c>
      <c r="O112" s="13">
        <v>468.7</v>
      </c>
      <c r="P112" s="30" t="s">
        <v>5</v>
      </c>
      <c r="Q112" s="13">
        <v>1546.9</v>
      </c>
      <c r="R112" s="13">
        <v>1438.3</v>
      </c>
      <c r="S112" s="23">
        <v>1492.6</v>
      </c>
      <c r="T112" s="41"/>
      <c r="U112" s="13">
        <v>4097</v>
      </c>
      <c r="V112" s="13">
        <v>4097</v>
      </c>
      <c r="W112" s="24">
        <v>4097</v>
      </c>
      <c r="X112" s="58" t="str">
        <f>HYPERLINK("http://drinc.ca.gov/DNN/Portals/0/SelfCert/37b87918-0783-4bc8-bdc4-20378a688c87.xlsx","WS1")</f>
        <v>WS1</v>
      </c>
      <c r="Y112" s="10" t="s">
        <v>68</v>
      </c>
      <c r="Z112" s="26" t="s">
        <v>13</v>
      </c>
      <c r="AA112" s="13">
        <v>-2604.4</v>
      </c>
      <c r="AB112" s="66">
        <v>0</v>
      </c>
      <c r="AC112" s="30" t="s">
        <v>18</v>
      </c>
      <c r="AD112" s="29" t="s">
        <v>712</v>
      </c>
      <c r="AE112" s="32"/>
      <c r="AF112" s="32"/>
      <c r="AG112" s="17"/>
      <c r="AH112" s="27"/>
      <c r="AI112" s="27"/>
      <c r="AJ112" s="11"/>
      <c r="AK112" s="58" t="str">
        <f>HYPERLINK("http://drinc.ca.gov/DNN/Portals/0/SelfCert/8ca417fc-e98d-430f-8446-83fa5c11c5d2.pdf","Cert")</f>
        <v>Cert</v>
      </c>
      <c r="AL112" s="58" t="str">
        <f>HYPERLINK("http://drinc.ca.gov/DNN/Portals/0/SelfCert/01cbad0a-26a2-4278-81b3-22b50b0d2c20.xlsx","Analysis")</f>
        <v>Analysis</v>
      </c>
    </row>
    <row r="113" spans="1:38" s="19" customFormat="1" ht="14.4" customHeight="1" x14ac:dyDescent="0.3">
      <c r="A113" s="12" t="s">
        <v>243</v>
      </c>
      <c r="B113" s="68" t="s">
        <v>16</v>
      </c>
      <c r="C113" s="73">
        <v>79089.333333333328</v>
      </c>
      <c r="D113" s="14">
        <v>27200.5</v>
      </c>
      <c r="E113" s="14">
        <v>47654.1</v>
      </c>
      <c r="F113" s="18">
        <v>0</v>
      </c>
      <c r="G113" s="68" t="s">
        <v>776</v>
      </c>
      <c r="H113" s="64">
        <v>0.36</v>
      </c>
      <c r="I113" s="64">
        <v>0.33</v>
      </c>
      <c r="J113" s="64">
        <v>0.24</v>
      </c>
      <c r="K113" s="71">
        <v>0.2833843017329255</v>
      </c>
      <c r="L113" s="65">
        <v>28234.2</v>
      </c>
      <c r="M113" s="65">
        <v>28234.2</v>
      </c>
      <c r="N113" s="13">
        <v>27230</v>
      </c>
      <c r="O113" s="13">
        <v>27171</v>
      </c>
      <c r="P113" s="30" t="s">
        <v>4</v>
      </c>
      <c r="Q113" s="13">
        <v>27230</v>
      </c>
      <c r="R113" s="13">
        <v>27171</v>
      </c>
      <c r="S113" s="23">
        <v>27200.5</v>
      </c>
      <c r="T113" s="41"/>
      <c r="U113" s="13">
        <v>54911</v>
      </c>
      <c r="V113" s="13">
        <v>49084.1</v>
      </c>
      <c r="W113" s="24">
        <v>47654.1</v>
      </c>
      <c r="X113" s="58" t="str">
        <f>HYPERLINK("http://drinc.ca.gov/DNN/Portals/0/SelfCert/b8e1bcc1-0d5b-4983-9a9d-46fa38074736.xlsx","WS1")</f>
        <v>WS1</v>
      </c>
      <c r="Y113" s="10" t="s">
        <v>244</v>
      </c>
      <c r="Z113" s="26" t="s">
        <v>13</v>
      </c>
      <c r="AA113" s="13">
        <v>-20453.599999999999</v>
      </c>
      <c r="AB113" s="66">
        <v>0</v>
      </c>
      <c r="AC113" s="30" t="s">
        <v>18</v>
      </c>
      <c r="AD113" s="29" t="s">
        <v>245</v>
      </c>
      <c r="AE113" s="32"/>
      <c r="AF113" s="32"/>
      <c r="AG113" s="17"/>
      <c r="AH113" s="27"/>
      <c r="AI113" s="27"/>
      <c r="AJ113" s="11"/>
      <c r="AK113" s="58" t="str">
        <f>HYPERLINK("http://drinc.ca.gov/DNN/Portals/0/SelfCert/df3dc427-eb1c-4fe9-b217-2b0cbf536a0d.pdf","Cert")</f>
        <v>Cert</v>
      </c>
      <c r="AL113" s="58" t="str">
        <f>HYPERLINK("http://drinc.ca.gov/DNN/Portals/0/SelfCert/1fbe7dc7-9d43-458b-bc49-cc647035b31f.xlsx","Analysis")</f>
        <v>Analysis</v>
      </c>
    </row>
    <row r="114" spans="1:38" s="19" customFormat="1" ht="14.4" customHeight="1" x14ac:dyDescent="0.3">
      <c r="A114" s="12" t="s">
        <v>329</v>
      </c>
      <c r="B114" s="68" t="s">
        <v>50</v>
      </c>
      <c r="C114" s="73">
        <v>33105.25</v>
      </c>
      <c r="D114" s="14">
        <v>13010.9</v>
      </c>
      <c r="E114" s="14">
        <v>14260</v>
      </c>
      <c r="F114" s="18">
        <v>0</v>
      </c>
      <c r="G114" s="68" t="s">
        <v>776</v>
      </c>
      <c r="H114" s="64">
        <v>0.36</v>
      </c>
      <c r="I114" s="64">
        <v>0.33</v>
      </c>
      <c r="J114" s="64">
        <v>0.36</v>
      </c>
      <c r="K114" s="71">
        <v>0.1463477618646738</v>
      </c>
      <c r="L114" s="65">
        <v>14944.6</v>
      </c>
      <c r="M114" s="65">
        <v>14944.6</v>
      </c>
      <c r="N114" s="13">
        <v>14944.9</v>
      </c>
      <c r="O114" s="13">
        <v>11076.9</v>
      </c>
      <c r="P114" s="30" t="s">
        <v>4</v>
      </c>
      <c r="Q114" s="13">
        <v>14944.9</v>
      </c>
      <c r="R114" s="13">
        <v>11076.9</v>
      </c>
      <c r="S114" s="23">
        <v>13010.9</v>
      </c>
      <c r="T114" s="41"/>
      <c r="U114" s="13">
        <v>24025</v>
      </c>
      <c r="V114" s="13">
        <v>16647</v>
      </c>
      <c r="W114" s="24">
        <v>14260</v>
      </c>
      <c r="X114" s="58" t="str">
        <f>HYPERLINK("http://drinc.ca.gov/DNN/Portals/0/SelfCert/fa6884ed-1cb0-42cb-8376-e1d624b1869c.xlsx","WS1")</f>
        <v>WS1</v>
      </c>
      <c r="Y114" s="10"/>
      <c r="Z114" s="26" t="s">
        <v>13</v>
      </c>
      <c r="AA114" s="13">
        <v>-1249.0999999999999</v>
      </c>
      <c r="AB114" s="66">
        <v>0</v>
      </c>
      <c r="AC114" s="30" t="s">
        <v>18</v>
      </c>
      <c r="AD114" s="29" t="s">
        <v>700</v>
      </c>
      <c r="AE114" s="32"/>
      <c r="AF114" s="32"/>
      <c r="AG114" s="17"/>
      <c r="AH114" s="27"/>
      <c r="AI114" s="27"/>
      <c r="AJ114" s="11"/>
      <c r="AK114" s="58" t="str">
        <f>HYPERLINK("http://drinc.ca.gov/DNN/Portals/0/SelfCert/baf0d93a-92f4-4158-b27a-2ee0e7843675.pdf","Cert")</f>
        <v>Cert</v>
      </c>
      <c r="AL114" s="58" t="str">
        <f>HYPERLINK("http://drinc.ca.gov/DNN/Portals/0/SelfCert/a4ff980f-de35-4aca-b452-30fa5446349d.xlsx","Analysis")</f>
        <v>Analysis</v>
      </c>
    </row>
    <row r="115" spans="1:38" s="19" customFormat="1" ht="14.4" customHeight="1" x14ac:dyDescent="0.3">
      <c r="A115" s="12" t="s">
        <v>79</v>
      </c>
      <c r="B115" s="68" t="s">
        <v>16</v>
      </c>
      <c r="C115" s="73">
        <v>142359.58333333334</v>
      </c>
      <c r="D115" s="14">
        <v>33856.1</v>
      </c>
      <c r="E115" s="14">
        <v>46464</v>
      </c>
      <c r="F115" s="18">
        <v>0</v>
      </c>
      <c r="G115" s="68" t="s">
        <v>776</v>
      </c>
      <c r="H115" s="64">
        <v>0.16</v>
      </c>
      <c r="I115" s="64">
        <v>0.15</v>
      </c>
      <c r="J115" s="64">
        <v>0.15</v>
      </c>
      <c r="K115" s="71">
        <v>8.8664301329606121E-2</v>
      </c>
      <c r="L115" s="65">
        <v>33877.199999999997</v>
      </c>
      <c r="M115" s="65">
        <v>33877.199999999997</v>
      </c>
      <c r="N115" s="13">
        <v>11039</v>
      </c>
      <c r="O115" s="13">
        <v>11025.2</v>
      </c>
      <c r="P115" s="30" t="s">
        <v>5</v>
      </c>
      <c r="Q115" s="13">
        <v>33877.300000000003</v>
      </c>
      <c r="R115" s="13">
        <v>33835</v>
      </c>
      <c r="S115" s="23">
        <v>33856.1</v>
      </c>
      <c r="T115" s="41"/>
      <c r="U115" s="13">
        <v>46473</v>
      </c>
      <c r="V115" s="13">
        <v>46464</v>
      </c>
      <c r="W115" s="24">
        <v>46464</v>
      </c>
      <c r="X115" s="58" t="str">
        <f>HYPERLINK("http://drinc.ca.gov/DNN/Portals/0/SelfCert/3307bdb1-2093-4cde-b2d4-87dff8f37446.xlsx","WS1")</f>
        <v>WS1</v>
      </c>
      <c r="Y115" s="10" t="s">
        <v>80</v>
      </c>
      <c r="Z115" s="26" t="s">
        <v>13</v>
      </c>
      <c r="AA115" s="13">
        <v>-12607.9</v>
      </c>
      <c r="AB115" s="66">
        <v>0</v>
      </c>
      <c r="AC115" s="30" t="s">
        <v>18</v>
      </c>
      <c r="AD115" s="29" t="s">
        <v>712</v>
      </c>
      <c r="AE115" s="32"/>
      <c r="AF115" s="32"/>
      <c r="AG115" s="17"/>
      <c r="AH115" s="27"/>
      <c r="AI115" s="27"/>
      <c r="AJ115" s="11"/>
      <c r="AK115" s="58" t="str">
        <f>HYPERLINK("http://drinc.ca.gov/DNN/Portals/0/SelfCert/22d4fb01-0b26-4ac4-abc2-46f32f1cc7e5.pdf","Cert")</f>
        <v>Cert</v>
      </c>
      <c r="AL115" s="58" t="str">
        <f>HYPERLINK("http://drinc.ca.gov/DNN/Portals/0/SelfCert/fe547ca8-1287-44ca-9822-8fb4f70aff08.xlsx","Analysis")</f>
        <v>Analysis</v>
      </c>
    </row>
    <row r="116" spans="1:38" s="19" customFormat="1" ht="14.4" customHeight="1" x14ac:dyDescent="0.3">
      <c r="A116" s="12" t="s">
        <v>204</v>
      </c>
      <c r="B116" s="68" t="s">
        <v>40</v>
      </c>
      <c r="C116" s="73">
        <v>152734.66666666666</v>
      </c>
      <c r="D116" s="14">
        <v>16593.099999999999</v>
      </c>
      <c r="E116" s="14">
        <v>16593</v>
      </c>
      <c r="F116" s="18">
        <v>0</v>
      </c>
      <c r="G116" s="68" t="s">
        <v>776</v>
      </c>
      <c r="H116" s="64">
        <v>0.08</v>
      </c>
      <c r="I116" s="64">
        <v>0.08</v>
      </c>
      <c r="J116" s="64">
        <v>0.23</v>
      </c>
      <c r="K116" s="71">
        <v>0.17347546889333809</v>
      </c>
      <c r="L116" s="65">
        <v>17536.5</v>
      </c>
      <c r="M116" s="65">
        <v>17536.5</v>
      </c>
      <c r="N116" s="13">
        <v>5713.9</v>
      </c>
      <c r="O116" s="13">
        <v>5099.8999999999996</v>
      </c>
      <c r="P116" s="30" t="s">
        <v>5</v>
      </c>
      <c r="Q116" s="13">
        <v>17535.3</v>
      </c>
      <c r="R116" s="13">
        <v>15651</v>
      </c>
      <c r="S116" s="23">
        <v>16593.099999999999</v>
      </c>
      <c r="T116" s="41"/>
      <c r="U116" s="13">
        <v>16593</v>
      </c>
      <c r="V116" s="13">
        <v>16593</v>
      </c>
      <c r="W116" s="24">
        <v>16593</v>
      </c>
      <c r="X116" s="58" t="str">
        <f>HYPERLINK("https://drinc.ca.gov/DNN/Portals/0/SelfCert/3096195f-b8a8-4022-b4aa-72da29d13b50.xlsx","WS1")</f>
        <v>WS1</v>
      </c>
      <c r="Y116" s="10"/>
      <c r="Z116" s="26" t="s">
        <v>13</v>
      </c>
      <c r="AA116" s="13">
        <v>0.1</v>
      </c>
      <c r="AB116" s="15">
        <v>0</v>
      </c>
      <c r="AC116" s="30" t="s">
        <v>14</v>
      </c>
      <c r="AD116" s="29"/>
      <c r="AE116" s="32"/>
      <c r="AF116" s="32"/>
      <c r="AG116" s="17"/>
      <c r="AH116" s="27"/>
      <c r="AI116" s="27"/>
      <c r="AJ116" s="11"/>
      <c r="AK116" s="58" t="str">
        <f>HYPERLINK("https://drinc.ca.gov/DNN/Portals/0/SelfCert/b2a45b9c-e2f5-470f-8a18-e43c7b18832a.pdf","Cert")</f>
        <v>Cert</v>
      </c>
      <c r="AL116" s="58" t="str">
        <f>HYPERLINK("https://drinc.ca.gov/DNN/Portals/0/SelfCert/fdfdfd8d-9b52-44d9-b48a-0086e58106f9.docx","Analysis")</f>
        <v>Analysis</v>
      </c>
    </row>
    <row r="117" spans="1:38" s="19" customFormat="1" ht="14.4" customHeight="1" x14ac:dyDescent="0.3">
      <c r="A117" s="12" t="s">
        <v>441</v>
      </c>
      <c r="B117" s="68" t="s">
        <v>16</v>
      </c>
      <c r="C117" s="73">
        <v>95855.75</v>
      </c>
      <c r="D117" s="14">
        <v>12418.4</v>
      </c>
      <c r="E117" s="14">
        <v>14320</v>
      </c>
      <c r="F117" s="18">
        <v>0</v>
      </c>
      <c r="G117" s="68" t="s">
        <v>776</v>
      </c>
      <c r="H117" s="64">
        <v>0.2</v>
      </c>
      <c r="I117" s="64">
        <v>0.19</v>
      </c>
      <c r="J117" s="64">
        <v>0.18</v>
      </c>
      <c r="K117" s="71">
        <v>0.17326081235196078</v>
      </c>
      <c r="L117" s="65">
        <v>12574.2</v>
      </c>
      <c r="M117" s="65">
        <v>12574.2</v>
      </c>
      <c r="N117" s="13">
        <v>4097.3</v>
      </c>
      <c r="O117" s="13">
        <v>3995.8</v>
      </c>
      <c r="P117" s="30" t="s">
        <v>5</v>
      </c>
      <c r="Q117" s="13">
        <v>12574.2</v>
      </c>
      <c r="R117" s="13">
        <v>12262.7</v>
      </c>
      <c r="S117" s="34">
        <v>12418.4</v>
      </c>
      <c r="T117" s="41"/>
      <c r="U117" s="13">
        <v>14565</v>
      </c>
      <c r="V117" s="13">
        <v>14565</v>
      </c>
      <c r="W117" s="24">
        <v>14320</v>
      </c>
      <c r="X117" s="58" t="str">
        <f>HYPERLINK("http://drinc.ca.gov/DNN/Portals/0/SelfCert/6143adb8-4705-4c30-8ef4-5fc33b232071.xlsx","WS1")</f>
        <v>WS1</v>
      </c>
      <c r="Y117" s="10" t="s">
        <v>80</v>
      </c>
      <c r="Z117" s="26" t="s">
        <v>13</v>
      </c>
      <c r="AA117" s="31">
        <v>-1901.6</v>
      </c>
      <c r="AB117" s="66">
        <v>0</v>
      </c>
      <c r="AC117" s="30" t="s">
        <v>18</v>
      </c>
      <c r="AD117" s="29" t="s">
        <v>712</v>
      </c>
      <c r="AE117" s="32"/>
      <c r="AF117" s="32"/>
      <c r="AG117" s="17"/>
      <c r="AH117" s="36"/>
      <c r="AI117" s="36"/>
      <c r="AJ117" s="11"/>
      <c r="AK117" s="58" t="str">
        <f>HYPERLINK("http://drinc.ca.gov/DNN/Portals/0/SelfCert/387c58df-f5b8-44b8-86a3-d06cfd7c07c4.pdf","Cert")</f>
        <v>Cert</v>
      </c>
      <c r="AL117" s="58" t="str">
        <f>HYPERLINK("http://drinc.ca.gov/DNN/Portals/0/SelfCert/2351a6e9-a3c9-41bd-b09d-06cd0104eff3.xlsx","Analysis")</f>
        <v>Analysis</v>
      </c>
    </row>
    <row r="118" spans="1:38" s="19" customFormat="1" ht="14.4" customHeight="1" x14ac:dyDescent="0.3">
      <c r="A118" s="12" t="s">
        <v>442</v>
      </c>
      <c r="B118" s="68" t="s">
        <v>38</v>
      </c>
      <c r="C118" s="73">
        <v>14967.083333333334</v>
      </c>
      <c r="D118" s="14">
        <v>1745.8</v>
      </c>
      <c r="E118" s="14">
        <v>10001</v>
      </c>
      <c r="F118" s="18">
        <v>0</v>
      </c>
      <c r="G118" s="68" t="s">
        <v>776</v>
      </c>
      <c r="H118" s="64">
        <v>0.12</v>
      </c>
      <c r="I118" s="64">
        <v>0.09</v>
      </c>
      <c r="J118" s="64">
        <v>0.22</v>
      </c>
      <c r="K118" s="71">
        <v>0.22352285395763649</v>
      </c>
      <c r="L118" s="65">
        <v>1777.9</v>
      </c>
      <c r="M118" s="65">
        <v>1777.9</v>
      </c>
      <c r="N118" s="13">
        <v>579.4</v>
      </c>
      <c r="O118" s="13">
        <v>558.4</v>
      </c>
      <c r="P118" s="30" t="s">
        <v>5</v>
      </c>
      <c r="Q118" s="13">
        <v>1778</v>
      </c>
      <c r="R118" s="13">
        <v>1713.6</v>
      </c>
      <c r="S118" s="23">
        <v>1745.8</v>
      </c>
      <c r="T118" s="41"/>
      <c r="U118" s="13">
        <v>10001</v>
      </c>
      <c r="V118" s="13">
        <v>10001</v>
      </c>
      <c r="W118" s="24">
        <v>10001</v>
      </c>
      <c r="X118" s="58" t="str">
        <f>HYPERLINK("http://drinc.ca.gov/DNN/Portals/0/SelfCert/2ddd6db3-5a2a-4ae9-b887-24286369eb4f.xlsx","WS1")</f>
        <v>WS1</v>
      </c>
      <c r="Y118" s="10" t="s">
        <v>68</v>
      </c>
      <c r="Z118" s="26" t="s">
        <v>13</v>
      </c>
      <c r="AA118" s="13">
        <v>-8255.2000000000007</v>
      </c>
      <c r="AB118" s="66">
        <v>0</v>
      </c>
      <c r="AC118" s="30" t="s">
        <v>18</v>
      </c>
      <c r="AD118" s="29" t="s">
        <v>741</v>
      </c>
      <c r="AE118" s="32"/>
      <c r="AF118" s="32"/>
      <c r="AG118" s="17"/>
      <c r="AH118" s="27"/>
      <c r="AI118" s="27"/>
      <c r="AJ118" s="11"/>
      <c r="AK118" s="58" t="str">
        <f>HYPERLINK("http://drinc.ca.gov/DNN/Portals/0/SelfCert/7d5f39f1-ca80-4d9c-90c1-5e54e3d44a4c.pdf","Cert")</f>
        <v>Cert</v>
      </c>
      <c r="AL118" s="58" t="str">
        <f>HYPERLINK("http://drinc.ca.gov/DNN/Portals/0/SelfCert/0587c617-3bd9-48cd-9e60-85c1203b7ee5.xlsx","Analysis")</f>
        <v>Analysis</v>
      </c>
    </row>
    <row r="119" spans="1:38" s="19" customFormat="1" ht="14.4" customHeight="1" x14ac:dyDescent="0.3">
      <c r="A119" s="12" t="s">
        <v>640</v>
      </c>
      <c r="B119" s="68" t="s">
        <v>16</v>
      </c>
      <c r="C119" s="73">
        <v>44608.333333333336</v>
      </c>
      <c r="D119" s="14">
        <v>12025.5</v>
      </c>
      <c r="E119" s="14">
        <v>9581</v>
      </c>
      <c r="F119" s="18">
        <v>0.2</v>
      </c>
      <c r="G119" s="68" t="s">
        <v>776</v>
      </c>
      <c r="H119" s="64">
        <v>0.36</v>
      </c>
      <c r="I119" s="64">
        <v>0.34</v>
      </c>
      <c r="J119" s="64">
        <v>0.22</v>
      </c>
      <c r="K119" s="71">
        <v>7.9053515313540657E-2</v>
      </c>
      <c r="L119" s="65">
        <v>11880</v>
      </c>
      <c r="M119" s="65">
        <v>11880</v>
      </c>
      <c r="N119" s="13">
        <v>12040</v>
      </c>
      <c r="O119" s="13">
        <v>12011</v>
      </c>
      <c r="P119" s="30" t="s">
        <v>4</v>
      </c>
      <c r="Q119" s="13">
        <v>12040</v>
      </c>
      <c r="R119" s="13">
        <v>12011</v>
      </c>
      <c r="S119" s="23">
        <v>12025.5</v>
      </c>
      <c r="T119" s="41"/>
      <c r="U119" s="13">
        <v>9721</v>
      </c>
      <c r="V119" s="13">
        <v>9651</v>
      </c>
      <c r="W119" s="24">
        <v>9581</v>
      </c>
      <c r="X119" s="58" t="str">
        <f>HYPERLINK("http://drinc.ca.gov/DNN/Portals/0/SelfCert/853d8981-110b-46bd-9174-5a73c37b8009.xlsx","WS1")</f>
        <v>WS1</v>
      </c>
      <c r="Y119" s="10" t="s">
        <v>641</v>
      </c>
      <c r="Z119" s="26" t="s">
        <v>13</v>
      </c>
      <c r="AA119" s="13">
        <v>2444.5</v>
      </c>
      <c r="AB119" s="15">
        <v>0.2</v>
      </c>
      <c r="AC119" s="30" t="s">
        <v>14</v>
      </c>
      <c r="AD119" s="29"/>
      <c r="AE119" s="32"/>
      <c r="AF119" s="32"/>
      <c r="AG119" s="17"/>
      <c r="AH119" s="27"/>
      <c r="AI119" s="27"/>
      <c r="AJ119" s="11"/>
      <c r="AK119" s="58" t="str">
        <f>HYPERLINK("http://drinc.ca.gov/DNN/Portals/0/SelfCert/510f6dc8-7fc7-4b54-85da-2f3ec24a6b41.pdf","Cert")</f>
        <v>Cert</v>
      </c>
      <c r="AL119" s="58" t="str">
        <f>HYPERLINK("http://drinc.ca.gov/DNN/Portals/0/SelfCert/7bab8a89-b802-4b4d-8754-e3b22d2ff64e.docx","Analysis")</f>
        <v>Analysis</v>
      </c>
    </row>
    <row r="120" spans="1:38" s="19" customFormat="1" ht="14.4" customHeight="1" x14ac:dyDescent="0.3">
      <c r="A120" s="12" t="s">
        <v>119</v>
      </c>
      <c r="B120" s="68" t="s">
        <v>16</v>
      </c>
      <c r="C120" s="73">
        <v>198775.91666666666</v>
      </c>
      <c r="D120" s="14">
        <v>44098</v>
      </c>
      <c r="E120" s="14">
        <v>44641</v>
      </c>
      <c r="F120" s="18">
        <v>0</v>
      </c>
      <c r="G120" s="68" t="s">
        <v>776</v>
      </c>
      <c r="H120" s="64">
        <v>0.28000000000000003</v>
      </c>
      <c r="I120" s="64">
        <v>0.24</v>
      </c>
      <c r="J120" s="64">
        <v>0.25</v>
      </c>
      <c r="K120" s="71">
        <v>0.23110396945699196</v>
      </c>
      <c r="L120" s="65">
        <v>45126.6</v>
      </c>
      <c r="M120" s="65">
        <v>45126.6</v>
      </c>
      <c r="N120" s="13">
        <v>45127</v>
      </c>
      <c r="O120" s="13">
        <v>43069</v>
      </c>
      <c r="P120" s="30" t="s">
        <v>4</v>
      </c>
      <c r="Q120" s="13">
        <v>45127</v>
      </c>
      <c r="R120" s="13">
        <v>43069</v>
      </c>
      <c r="S120" s="23">
        <v>44098</v>
      </c>
      <c r="T120" s="41" t="s">
        <v>120</v>
      </c>
      <c r="U120" s="13">
        <v>49922</v>
      </c>
      <c r="V120" s="13">
        <v>39527</v>
      </c>
      <c r="W120" s="24">
        <v>44641</v>
      </c>
      <c r="X120" s="58" t="str">
        <f>HYPERLINK("http://drinc.ca.gov/DNN/Portals/0/SelfCert/d554ba8e-d01c-4eb3-a0b5-3a4def56673e.xlsx","WS1")</f>
        <v>WS1</v>
      </c>
      <c r="Y120" s="10" t="s">
        <v>121</v>
      </c>
      <c r="Z120" s="26" t="s">
        <v>13</v>
      </c>
      <c r="AA120" s="13">
        <v>-543</v>
      </c>
      <c r="AB120" s="66">
        <v>0</v>
      </c>
      <c r="AC120" s="30" t="s">
        <v>18</v>
      </c>
      <c r="AD120" s="29" t="s">
        <v>772</v>
      </c>
      <c r="AE120" s="32"/>
      <c r="AF120" s="32"/>
      <c r="AG120" s="17"/>
      <c r="AH120" s="27"/>
      <c r="AI120" s="27"/>
      <c r="AJ120" s="11"/>
      <c r="AK120" s="58" t="str">
        <f>HYPERLINK("http://drinc.ca.gov/DNN/Portals/0/SelfCert/0196a652-d70d-473b-9506-7bafcb29331b.pdf","Cert")</f>
        <v>Cert</v>
      </c>
      <c r="AL120" s="58" t="str">
        <f>HYPERLINK("http://drinc.ca.gov/DNN/Portals/0/SelfCert/1d2f8b64-8fe1-4e9b-9624-201e9d667452.xlsx","Analysis")</f>
        <v>Analysis</v>
      </c>
    </row>
    <row r="121" spans="1:38" s="19" customFormat="1" ht="14.4" customHeight="1" x14ac:dyDescent="0.3">
      <c r="A121" s="12" t="s">
        <v>524</v>
      </c>
      <c r="B121" s="68" t="s">
        <v>50</v>
      </c>
      <c r="C121" s="73">
        <v>481068</v>
      </c>
      <c r="D121" s="14">
        <v>106226</v>
      </c>
      <c r="E121" s="14">
        <v>282433</v>
      </c>
      <c r="F121" s="18">
        <v>0</v>
      </c>
      <c r="G121" s="68" t="s">
        <v>776</v>
      </c>
      <c r="H121" s="64">
        <v>0.28000000000000003</v>
      </c>
      <c r="I121" s="64">
        <v>0.25</v>
      </c>
      <c r="J121" s="64">
        <v>0.28999999999999998</v>
      </c>
      <c r="K121" s="71">
        <v>0.28139427516158821</v>
      </c>
      <c r="L121" s="65">
        <v>117209.9</v>
      </c>
      <c r="M121" s="65">
        <v>117209.9</v>
      </c>
      <c r="N121" s="13">
        <v>117203</v>
      </c>
      <c r="O121" s="13">
        <v>95249</v>
      </c>
      <c r="P121" s="30" t="s">
        <v>4</v>
      </c>
      <c r="Q121" s="13">
        <v>117203</v>
      </c>
      <c r="R121" s="13">
        <v>95249</v>
      </c>
      <c r="S121" s="23">
        <v>106226</v>
      </c>
      <c r="T121" s="41"/>
      <c r="U121" s="13">
        <v>274433</v>
      </c>
      <c r="V121" s="13">
        <v>278433</v>
      </c>
      <c r="W121" s="24">
        <v>282433</v>
      </c>
      <c r="X121" s="58" t="str">
        <f>HYPERLINK("http://drinc.ca.gov/DNN/Portals/0/SelfCert/6c605e3f-e551-4956-965f-e4c738568bd2.xlsx","WS1")</f>
        <v>WS1</v>
      </c>
      <c r="Y121" s="10"/>
      <c r="Z121" s="26" t="s">
        <v>13</v>
      </c>
      <c r="AA121" s="13">
        <v>-176207</v>
      </c>
      <c r="AB121" s="66">
        <v>0</v>
      </c>
      <c r="AC121" s="30" t="s">
        <v>18</v>
      </c>
      <c r="AD121" s="29" t="s">
        <v>525</v>
      </c>
      <c r="AE121" s="32"/>
      <c r="AF121" s="32"/>
      <c r="AG121" s="17"/>
      <c r="AH121" s="27"/>
      <c r="AI121" s="27"/>
      <c r="AJ121" s="11"/>
      <c r="AK121" s="58" t="str">
        <f>HYPERLINK("http://drinc.ca.gov/DNN/Portals/0/SelfCert/f9e6220c-2f55-45b8-8339-09ebdfacc3d3.pdf","Cert")</f>
        <v>Cert</v>
      </c>
      <c r="AL121" s="58" t="str">
        <f>HYPERLINK("http://drinc.ca.gov/DNN/Portals/0/SelfCert/fd5c1522-d23b-43cf-8355-08b33a0f6777.xls","Analysis")</f>
        <v>Analysis</v>
      </c>
    </row>
    <row r="122" spans="1:38" s="19" customFormat="1" ht="14.4" customHeight="1" x14ac:dyDescent="0.3">
      <c r="A122" s="12" t="s">
        <v>431</v>
      </c>
      <c r="B122" s="68" t="s">
        <v>46</v>
      </c>
      <c r="C122" s="73">
        <v>5571.916666666667</v>
      </c>
      <c r="D122" s="14">
        <v>831.8</v>
      </c>
      <c r="E122" s="14">
        <v>4962</v>
      </c>
      <c r="F122" s="18">
        <v>0</v>
      </c>
      <c r="G122" s="68" t="s">
        <v>776</v>
      </c>
      <c r="H122" s="64">
        <v>0.28000000000000003</v>
      </c>
      <c r="I122" s="64">
        <v>0.25</v>
      </c>
      <c r="J122" s="64">
        <v>0.19</v>
      </c>
      <c r="K122" s="71">
        <v>0.11322869955156956</v>
      </c>
      <c r="L122" s="65">
        <v>852.5</v>
      </c>
      <c r="M122" s="65">
        <v>852.5</v>
      </c>
      <c r="N122" s="13">
        <v>277.8</v>
      </c>
      <c r="O122" s="13">
        <v>264.3</v>
      </c>
      <c r="P122" s="30" t="s">
        <v>5</v>
      </c>
      <c r="Q122" s="13">
        <v>852.5</v>
      </c>
      <c r="R122" s="13">
        <v>811.1</v>
      </c>
      <c r="S122" s="23">
        <v>831.8</v>
      </c>
      <c r="T122" s="41"/>
      <c r="U122" s="13">
        <v>4962</v>
      </c>
      <c r="V122" s="13">
        <v>4962</v>
      </c>
      <c r="W122" s="24">
        <v>4962</v>
      </c>
      <c r="X122" s="58" t="str">
        <f>HYPERLINK("http://drinc.ca.gov/DNN/Portals/0/SelfCert/b2c5c73d-8e19-4b9c-8dee-2f2c276d3284.xlsx","WS1")</f>
        <v>WS1</v>
      </c>
      <c r="Y122" s="10" t="s">
        <v>432</v>
      </c>
      <c r="Z122" s="26" t="s">
        <v>13</v>
      </c>
      <c r="AA122" s="13">
        <v>-4130.2</v>
      </c>
      <c r="AB122" s="66">
        <v>0</v>
      </c>
      <c r="AC122" s="30" t="s">
        <v>18</v>
      </c>
      <c r="AD122" s="29" t="s">
        <v>712</v>
      </c>
      <c r="AE122" s="32"/>
      <c r="AF122" s="32"/>
      <c r="AG122" s="17"/>
      <c r="AH122" s="27"/>
      <c r="AI122" s="27"/>
      <c r="AJ122" s="11"/>
      <c r="AK122" s="58" t="str">
        <f>HYPERLINK("http://drinc.ca.gov/DNN/Portals/0/SelfCert/e2adccf8-27e6-46c6-abe3-42b5a1410263.pdf","Cert")</f>
        <v>Cert</v>
      </c>
      <c r="AL122" s="58" t="str">
        <f>HYPERLINK("http://drinc.ca.gov/DNN/Portals/0/SelfCert/45461bea-5d56-43e6-a8eb-86f4ae622390.xlsx","Analysis")</f>
        <v>Analysis</v>
      </c>
    </row>
    <row r="123" spans="1:38" s="19" customFormat="1" ht="14.4" customHeight="1" x14ac:dyDescent="0.3">
      <c r="A123" s="12" t="s">
        <v>440</v>
      </c>
      <c r="B123" s="68" t="s">
        <v>40</v>
      </c>
      <c r="C123" s="73">
        <v>69401.416666666672</v>
      </c>
      <c r="D123" s="14">
        <v>14152</v>
      </c>
      <c r="E123" s="14">
        <v>25335</v>
      </c>
      <c r="F123" s="18">
        <v>0</v>
      </c>
      <c r="G123" s="68" t="s">
        <v>776</v>
      </c>
      <c r="H123" s="64">
        <v>0.32</v>
      </c>
      <c r="I123" s="64">
        <v>0.32</v>
      </c>
      <c r="J123" s="64">
        <v>0.38</v>
      </c>
      <c r="K123" s="71">
        <v>0.26272427682167709</v>
      </c>
      <c r="L123" s="65">
        <v>15192.4</v>
      </c>
      <c r="M123" s="65">
        <v>15192.4</v>
      </c>
      <c r="N123" s="13">
        <v>4950.3999999999996</v>
      </c>
      <c r="O123" s="13">
        <v>4272.5</v>
      </c>
      <c r="P123" s="30" t="s">
        <v>5</v>
      </c>
      <c r="Q123" s="13">
        <v>15192.2</v>
      </c>
      <c r="R123" s="13">
        <v>13111.7</v>
      </c>
      <c r="S123" s="23">
        <v>14152</v>
      </c>
      <c r="T123" s="41"/>
      <c r="U123" s="13">
        <v>25335</v>
      </c>
      <c r="V123" s="13">
        <v>25335</v>
      </c>
      <c r="W123" s="24">
        <v>25335</v>
      </c>
      <c r="X123" s="58" t="str">
        <f>HYPERLINK("http://drinc.ca.gov/DNN/Portals/0/SelfCert/86cf7343-d302-4ecd-987a-7ae2dfed1ca9.xlsx","WS1")</f>
        <v>WS1</v>
      </c>
      <c r="Y123" s="10" t="s">
        <v>68</v>
      </c>
      <c r="Z123" s="26" t="s">
        <v>13</v>
      </c>
      <c r="AA123" s="13">
        <v>-11183</v>
      </c>
      <c r="AB123" s="66">
        <v>0</v>
      </c>
      <c r="AC123" s="30" t="s">
        <v>18</v>
      </c>
      <c r="AD123" s="29" t="s">
        <v>740</v>
      </c>
      <c r="AE123" s="32"/>
      <c r="AF123" s="32"/>
      <c r="AG123" s="17"/>
      <c r="AH123" s="27"/>
      <c r="AI123" s="27"/>
      <c r="AJ123" s="11"/>
      <c r="AK123" s="58" t="str">
        <f>HYPERLINK("http://drinc.ca.gov/DNN/Portals/0/SelfCert/aa0a06fc-79c4-4252-ba97-f06f6e7bbb48.pdf","Cert")</f>
        <v>Cert</v>
      </c>
      <c r="AL123" s="58" t="str">
        <f>HYPERLINK("http://drinc.ca.gov/DNN/Portals/0/SelfCert/fb185c17-3e09-48af-be8a-d1bfd7675c7e.xlsx","Analysis")</f>
        <v>Analysis</v>
      </c>
    </row>
    <row r="124" spans="1:38" s="19" customFormat="1" ht="14.4" customHeight="1" x14ac:dyDescent="0.3">
      <c r="A124" s="12" t="s">
        <v>116</v>
      </c>
      <c r="B124" s="68" t="s">
        <v>46</v>
      </c>
      <c r="C124" s="73">
        <v>57622</v>
      </c>
      <c r="D124" s="14">
        <v>12938.9</v>
      </c>
      <c r="E124" s="14">
        <v>14600</v>
      </c>
      <c r="F124" s="18">
        <v>0</v>
      </c>
      <c r="G124" s="68" t="s">
        <v>776</v>
      </c>
      <c r="H124" s="64">
        <v>0.28000000000000003</v>
      </c>
      <c r="I124" s="64">
        <v>0.23</v>
      </c>
      <c r="J124" s="64">
        <v>0.17</v>
      </c>
      <c r="K124" s="71">
        <v>0.21872528723675877</v>
      </c>
      <c r="L124" s="65">
        <v>13525.9</v>
      </c>
      <c r="M124" s="65">
        <v>13525.9</v>
      </c>
      <c r="N124" s="13">
        <v>13486.7</v>
      </c>
      <c r="O124" s="13">
        <v>12391</v>
      </c>
      <c r="P124" s="30" t="s">
        <v>4</v>
      </c>
      <c r="Q124" s="13">
        <v>13486.7</v>
      </c>
      <c r="R124" s="13">
        <v>12391</v>
      </c>
      <c r="S124" s="23">
        <v>12938.9</v>
      </c>
      <c r="T124" s="41"/>
      <c r="U124" s="13">
        <v>14600</v>
      </c>
      <c r="V124" s="13">
        <v>14600</v>
      </c>
      <c r="W124" s="24">
        <v>14600</v>
      </c>
      <c r="X124" s="58" t="str">
        <f>HYPERLINK("http://drinc.ca.gov/DNN/Portals/0/SelfCert/ddb4e6f3-3ccd-4366-934b-6f4f0a8fd6f4.xlsx","WS1")</f>
        <v>WS1</v>
      </c>
      <c r="Y124" s="10" t="s">
        <v>117</v>
      </c>
      <c r="Z124" s="26" t="s">
        <v>13</v>
      </c>
      <c r="AA124" s="13">
        <v>-1661.1</v>
      </c>
      <c r="AB124" s="66">
        <v>0</v>
      </c>
      <c r="AC124" s="30" t="s">
        <v>18</v>
      </c>
      <c r="AD124" s="29" t="s">
        <v>118</v>
      </c>
      <c r="AE124" s="32"/>
      <c r="AF124" s="32"/>
      <c r="AG124" s="17"/>
      <c r="AH124" s="27"/>
      <c r="AI124" s="27"/>
      <c r="AJ124" s="11"/>
      <c r="AK124" s="58" t="str">
        <f>HYPERLINK("http://drinc.ca.gov/DNN/Portals/0/SelfCert/aacb50c3-ad80-49b8-acee-6eaef1cbd863.pdf","Cert")</f>
        <v>Cert</v>
      </c>
      <c r="AL124" s="58" t="str">
        <f>HYPERLINK("http://drinc.ca.gov/DNN/Portals/0/SelfCert/3730d9ca-eb1a-43a9-afb1-89b3370106c2.pdf","Analysis")</f>
        <v>Analysis</v>
      </c>
    </row>
    <row r="125" spans="1:38" s="19" customFormat="1" ht="14.4" customHeight="1" x14ac:dyDescent="0.3">
      <c r="A125" s="12" t="s">
        <v>439</v>
      </c>
      <c r="B125" s="68" t="s">
        <v>40</v>
      </c>
      <c r="C125" s="73">
        <v>58690.166666666664</v>
      </c>
      <c r="D125" s="14">
        <v>11385.8</v>
      </c>
      <c r="E125" s="14">
        <v>14144</v>
      </c>
      <c r="F125" s="18">
        <v>0</v>
      </c>
      <c r="G125" s="68" t="s">
        <v>776</v>
      </c>
      <c r="H125" s="64">
        <v>0.24</v>
      </c>
      <c r="I125" s="64">
        <v>0.21</v>
      </c>
      <c r="J125" s="64">
        <v>0.4</v>
      </c>
      <c r="K125" s="71">
        <v>0.33109981515711651</v>
      </c>
      <c r="L125" s="65">
        <v>11434.6</v>
      </c>
      <c r="M125" s="65">
        <v>11434.6</v>
      </c>
      <c r="N125" s="13">
        <v>3726</v>
      </c>
      <c r="O125" s="13">
        <v>3694.2</v>
      </c>
      <c r="P125" s="30" t="s">
        <v>5</v>
      </c>
      <c r="Q125" s="13">
        <v>11434.5</v>
      </c>
      <c r="R125" s="13">
        <v>11337.1</v>
      </c>
      <c r="S125" s="23">
        <v>11385.8</v>
      </c>
      <c r="T125" s="41"/>
      <c r="U125" s="13">
        <v>14144</v>
      </c>
      <c r="V125" s="13">
        <v>14144</v>
      </c>
      <c r="W125" s="24">
        <v>14144</v>
      </c>
      <c r="X125" s="58" t="str">
        <f>HYPERLINK("http://drinc.ca.gov/DNN/Portals/0/SelfCert/c66e3644-d489-4242-b42e-7e3516842131.xlsx","WS1")</f>
        <v>WS1</v>
      </c>
      <c r="Y125" s="10" t="s">
        <v>68</v>
      </c>
      <c r="Z125" s="26" t="s">
        <v>13</v>
      </c>
      <c r="AA125" s="13">
        <v>-2758.2</v>
      </c>
      <c r="AB125" s="66">
        <v>0</v>
      </c>
      <c r="AC125" s="30" t="s">
        <v>18</v>
      </c>
      <c r="AD125" s="29" t="s">
        <v>739</v>
      </c>
      <c r="AE125" s="32"/>
      <c r="AF125" s="32"/>
      <c r="AG125" s="17"/>
      <c r="AH125" s="27"/>
      <c r="AI125" s="27"/>
      <c r="AJ125" s="11"/>
      <c r="AK125" s="58" t="str">
        <f>HYPERLINK("http://drinc.ca.gov/DNN/Portals/0/SelfCert/aba01240-b0b3-47d8-93e0-41dbd5e5c853.pdf","Cert")</f>
        <v>Cert</v>
      </c>
      <c r="AL125" s="58" t="str">
        <f>HYPERLINK("http://drinc.ca.gov/DNN/Portals/0/SelfCert/c71f051b-316c-457c-be9a-e430c435ed1d.xlsx","Analysis")</f>
        <v>Analysis</v>
      </c>
    </row>
    <row r="126" spans="1:38" s="19" customFormat="1" ht="14.4" customHeight="1" x14ac:dyDescent="0.3">
      <c r="A126" s="12" t="s">
        <v>645</v>
      </c>
      <c r="B126" s="68" t="s">
        <v>46</v>
      </c>
      <c r="C126" s="73">
        <v>20984.333333333332</v>
      </c>
      <c r="D126" s="14">
        <v>22490.799999999999</v>
      </c>
      <c r="E126" s="14">
        <v>22490.799999999999</v>
      </c>
      <c r="F126" s="18">
        <v>0</v>
      </c>
      <c r="G126" s="68" t="s">
        <v>776</v>
      </c>
      <c r="H126" s="64">
        <v>0.28000000000000003</v>
      </c>
      <c r="I126" s="64">
        <v>0.25</v>
      </c>
      <c r="J126" s="64">
        <v>0.13</v>
      </c>
      <c r="K126" s="71">
        <v>9.452838555467824E-2</v>
      </c>
      <c r="L126" s="65">
        <v>18351.3</v>
      </c>
      <c r="M126" s="65">
        <v>18351.3</v>
      </c>
      <c r="N126" s="13">
        <v>23533.8</v>
      </c>
      <c r="O126" s="13">
        <v>21447.8</v>
      </c>
      <c r="P126" s="30" t="s">
        <v>4</v>
      </c>
      <c r="Q126" s="13">
        <v>23533.8</v>
      </c>
      <c r="R126" s="13">
        <v>21447.8</v>
      </c>
      <c r="S126" s="23">
        <v>22490.799999999999</v>
      </c>
      <c r="T126" s="41"/>
      <c r="U126" s="13">
        <v>22490.79</v>
      </c>
      <c r="V126" s="13">
        <v>22490.799999999999</v>
      </c>
      <c r="W126" s="24">
        <v>22490.799999999999</v>
      </c>
      <c r="X126" s="58" t="str">
        <f>HYPERLINK("http://drinc.ca.gov/DNN/Portals/0/SelfCert/7260e52a-9298-482e-bee4-cb9053c20b79.xlsx","WS1")</f>
        <v>WS1</v>
      </c>
      <c r="Y126" s="10"/>
      <c r="Z126" s="26" t="s">
        <v>13</v>
      </c>
      <c r="AA126" s="13">
        <v>0</v>
      </c>
      <c r="AB126" s="15">
        <v>0</v>
      </c>
      <c r="AC126" s="30" t="s">
        <v>14</v>
      </c>
      <c r="AD126" s="29"/>
      <c r="AE126" s="32"/>
      <c r="AF126" s="32"/>
      <c r="AG126" s="17"/>
      <c r="AH126" s="27"/>
      <c r="AI126" s="27"/>
      <c r="AJ126" s="11"/>
      <c r="AK126" s="58" t="str">
        <f>HYPERLINK("http://drinc.ca.gov/DNN/Portals/0/SelfCert/68493f55-8fb5-4815-b2f9-058fe845eb94.pdf","Cert")</f>
        <v>Cert</v>
      </c>
      <c r="AL126" s="58" t="str">
        <f>HYPERLINK("http://drinc.ca.gov/DNN/Portals/0/SelfCert/c2239cde-83bd-4ddd-a23a-f052f5a15b20.pdf","Analysis")</f>
        <v>Analysis</v>
      </c>
    </row>
    <row r="127" spans="1:38" s="19" customFormat="1" ht="14.4" customHeight="1" x14ac:dyDescent="0.3">
      <c r="A127" s="12" t="s">
        <v>358</v>
      </c>
      <c r="B127" s="68" t="s">
        <v>38</v>
      </c>
      <c r="C127" s="73">
        <v>30474</v>
      </c>
      <c r="D127" s="14">
        <v>6634.4</v>
      </c>
      <c r="E127" s="14">
        <v>14567</v>
      </c>
      <c r="F127" s="18">
        <v>0</v>
      </c>
      <c r="G127" s="68" t="s">
        <v>776</v>
      </c>
      <c r="H127" s="64">
        <v>0.28000000000000003</v>
      </c>
      <c r="I127" s="64">
        <v>0.24</v>
      </c>
      <c r="J127" s="64">
        <v>0.3</v>
      </c>
      <c r="K127" s="71">
        <v>0.21230360065466447</v>
      </c>
      <c r="L127" s="65">
        <v>6998.1</v>
      </c>
      <c r="M127" s="65">
        <v>6998.1</v>
      </c>
      <c r="N127" s="31">
        <v>7000.2</v>
      </c>
      <c r="O127" s="31">
        <v>6268.6</v>
      </c>
      <c r="P127" s="30" t="s">
        <v>4</v>
      </c>
      <c r="Q127" s="31">
        <v>7000.1</v>
      </c>
      <c r="R127" s="31">
        <v>6268.6</v>
      </c>
      <c r="S127" s="34">
        <v>6634.4</v>
      </c>
      <c r="T127" s="41"/>
      <c r="U127" s="31">
        <v>14567</v>
      </c>
      <c r="V127" s="31">
        <v>14567</v>
      </c>
      <c r="W127" s="35">
        <v>14567</v>
      </c>
      <c r="X127" s="58" t="str">
        <f>HYPERLINK("http://drinc.ca.gov/DNN/Portals/0/SelfCert/a16529c8-c4a1-450a-b706-ec8d3d356160.xlsx","WS1")</f>
        <v>WS1</v>
      </c>
      <c r="Y127" s="10" t="s">
        <v>753</v>
      </c>
      <c r="Z127" s="26" t="s">
        <v>13</v>
      </c>
      <c r="AA127" s="31">
        <v>-7932.6</v>
      </c>
      <c r="AB127" s="66">
        <v>0</v>
      </c>
      <c r="AC127" s="30" t="s">
        <v>14</v>
      </c>
      <c r="AD127" s="29" t="s">
        <v>359</v>
      </c>
      <c r="AE127" s="32"/>
      <c r="AF127" s="32"/>
      <c r="AG127" s="17"/>
      <c r="AH127" s="36"/>
      <c r="AI127" s="36"/>
      <c r="AJ127" s="11"/>
      <c r="AK127" s="58" t="str">
        <f>HYPERLINK("http://drinc.ca.gov/DNN/Portals/0/SelfCert/d10ef8c8-0a2b-4588-a6ff-ba223081c341.pdf","Cert")</f>
        <v>Cert</v>
      </c>
      <c r="AL127" s="58" t="str">
        <f>HYPERLINK("http://drinc.ca.gov/DNN/Portals/0/SelfCert/de7f6880-e63e-4680-8043-436c1d4836e0.docx","Analysis")</f>
        <v>Analysis</v>
      </c>
    </row>
    <row r="128" spans="1:38" s="19" customFormat="1" ht="14.4" customHeight="1" x14ac:dyDescent="0.3">
      <c r="A128" s="12" t="s">
        <v>316</v>
      </c>
      <c r="B128" s="68" t="s">
        <v>38</v>
      </c>
      <c r="C128" s="73">
        <v>7845.583333333333</v>
      </c>
      <c r="D128" s="14">
        <v>2048.8000000000002</v>
      </c>
      <c r="E128" s="14">
        <v>2577.3000000000002</v>
      </c>
      <c r="F128" s="18">
        <v>0</v>
      </c>
      <c r="G128" s="68" t="s">
        <v>776</v>
      </c>
      <c r="H128" s="64">
        <v>0.24</v>
      </c>
      <c r="I128" s="64">
        <v>0.22</v>
      </c>
      <c r="J128" s="64">
        <v>0.24</v>
      </c>
      <c r="K128" s="71">
        <v>0.21346905301751162</v>
      </c>
      <c r="L128" s="65">
        <v>2148.4</v>
      </c>
      <c r="M128" s="65">
        <v>2148.4</v>
      </c>
      <c r="N128" s="31">
        <v>2148.4</v>
      </c>
      <c r="O128" s="31">
        <v>1949.2</v>
      </c>
      <c r="P128" s="30" t="s">
        <v>4</v>
      </c>
      <c r="Q128" s="31">
        <v>2148.4</v>
      </c>
      <c r="R128" s="31">
        <v>1949.2</v>
      </c>
      <c r="S128" s="34">
        <v>2048.8000000000002</v>
      </c>
      <c r="T128" s="41"/>
      <c r="U128" s="31">
        <v>2577.3000000000002</v>
      </c>
      <c r="V128" s="31">
        <v>2577.3000000000002</v>
      </c>
      <c r="W128" s="35">
        <v>2577.3000000000002</v>
      </c>
      <c r="X128" s="58" t="str">
        <f>HYPERLINK("http://drinc.ca.gov/DNN/Portals/0/SelfCert/ce61ab29-0c6b-433c-9358-a48f0715d318.xlsx","WS1")</f>
        <v>WS1</v>
      </c>
      <c r="Y128" s="10"/>
      <c r="Z128" s="26" t="s">
        <v>13</v>
      </c>
      <c r="AA128" s="31">
        <v>-528.5</v>
      </c>
      <c r="AB128" s="66">
        <v>0</v>
      </c>
      <c r="AC128" s="30" t="s">
        <v>14</v>
      </c>
      <c r="AD128" s="29" t="s">
        <v>317</v>
      </c>
      <c r="AE128" s="32"/>
      <c r="AF128" s="32"/>
      <c r="AG128" s="17"/>
      <c r="AH128" s="36"/>
      <c r="AI128" s="36"/>
      <c r="AJ128" s="11"/>
      <c r="AK128" s="58" t="str">
        <f>HYPERLINK("http://drinc.ca.gov/DNN/Portals/0/SelfCert/93ff0879-42e5-43fc-8275-fb0952b3c1ae.pdf","Cert")</f>
        <v>Cert</v>
      </c>
      <c r="AL128" s="58" t="str">
        <f>HYPERLINK("http://drinc.ca.gov/DNN/Portals/0/SelfCert/1253e194-78e6-4e5e-9aec-3a477a3c8f0d.xlsx","Analysis")</f>
        <v>Analysis</v>
      </c>
    </row>
    <row r="129" spans="1:38" s="19" customFormat="1" ht="14.4" customHeight="1" x14ac:dyDescent="0.3">
      <c r="A129" s="12" t="s">
        <v>307</v>
      </c>
      <c r="B129" s="68" t="s">
        <v>50</v>
      </c>
      <c r="C129" s="73">
        <v>12238.916666666666</v>
      </c>
      <c r="D129" s="14">
        <v>2157.1999999999998</v>
      </c>
      <c r="E129" s="14">
        <v>8341</v>
      </c>
      <c r="F129" s="18">
        <v>0</v>
      </c>
      <c r="G129" s="68" t="s">
        <v>776</v>
      </c>
      <c r="H129" s="64">
        <v>0.24</v>
      </c>
      <c r="I129" s="64">
        <v>0.21</v>
      </c>
      <c r="J129" s="64">
        <v>0.24</v>
      </c>
      <c r="K129" s="71">
        <v>0.24639289678135412</v>
      </c>
      <c r="L129" s="65">
        <v>2301.4</v>
      </c>
      <c r="M129" s="65">
        <v>2301.4</v>
      </c>
      <c r="N129" s="13">
        <v>749.9</v>
      </c>
      <c r="O129" s="13">
        <v>655.9</v>
      </c>
      <c r="P129" s="30" t="s">
        <v>5</v>
      </c>
      <c r="Q129" s="13">
        <v>2301.4</v>
      </c>
      <c r="R129" s="13">
        <v>2013</v>
      </c>
      <c r="S129" s="23">
        <v>2157.1999999999998</v>
      </c>
      <c r="T129" s="41"/>
      <c r="U129" s="13">
        <v>8341</v>
      </c>
      <c r="V129" s="13">
        <v>8341</v>
      </c>
      <c r="W129" s="24">
        <v>8341</v>
      </c>
      <c r="X129" s="58" t="str">
        <f>HYPERLINK("http://drinc.ca.gov/DNN/Portals/0/SelfCert/94239e10-c29e-4b21-8206-17244f1ce2b4.xlsx","WS1")</f>
        <v>WS1</v>
      </c>
      <c r="Y129" s="10" t="s">
        <v>68</v>
      </c>
      <c r="Z129" s="26" t="s">
        <v>13</v>
      </c>
      <c r="AA129" s="13">
        <v>-6183.8</v>
      </c>
      <c r="AB129" s="66">
        <v>0</v>
      </c>
      <c r="AC129" s="30" t="s">
        <v>18</v>
      </c>
      <c r="AD129" s="29" t="s">
        <v>712</v>
      </c>
      <c r="AE129" s="32"/>
      <c r="AF129" s="32"/>
      <c r="AG129" s="17"/>
      <c r="AH129" s="27"/>
      <c r="AI129" s="27"/>
      <c r="AJ129" s="11"/>
      <c r="AK129" s="58" t="str">
        <f>HYPERLINK("http://drinc.ca.gov/DNN/Portals/0/SelfCert/646401fc-19d6-41af-a002-ba8d1cffec20.pdf","Cert")</f>
        <v>Cert</v>
      </c>
      <c r="AL129" s="58" t="str">
        <f>HYPERLINK("http://drinc.ca.gov/DNN/Portals/0/SelfCert/630f6443-2d8f-4682-ac47-f84b256e5610.xlsx","Analysis")</f>
        <v>Analysis</v>
      </c>
    </row>
    <row r="130" spans="1:38" s="19" customFormat="1" ht="14.4" customHeight="1" x14ac:dyDescent="0.3">
      <c r="A130" s="12" t="s">
        <v>355</v>
      </c>
      <c r="B130" s="68" t="s">
        <v>27</v>
      </c>
      <c r="C130" s="73">
        <v>64213.166666666664</v>
      </c>
      <c r="D130" s="14">
        <v>10981</v>
      </c>
      <c r="E130" s="14">
        <v>15400</v>
      </c>
      <c r="F130" s="18">
        <v>0</v>
      </c>
      <c r="G130" s="68" t="s">
        <v>776</v>
      </c>
      <c r="H130" s="64">
        <v>0.28000000000000003</v>
      </c>
      <c r="I130" s="64">
        <v>0.26</v>
      </c>
      <c r="J130" s="64">
        <v>0.25</v>
      </c>
      <c r="K130" s="71">
        <v>0.23336498149597329</v>
      </c>
      <c r="L130" s="65">
        <v>11832.7</v>
      </c>
      <c r="M130" s="65">
        <v>11832.7</v>
      </c>
      <c r="N130" s="13">
        <v>11327.1</v>
      </c>
      <c r="O130" s="13">
        <v>10634.9</v>
      </c>
      <c r="P130" s="30" t="s">
        <v>4</v>
      </c>
      <c r="Q130" s="13">
        <v>11327.1</v>
      </c>
      <c r="R130" s="13">
        <v>10634.9</v>
      </c>
      <c r="S130" s="23">
        <v>10981</v>
      </c>
      <c r="T130" s="41" t="s">
        <v>356</v>
      </c>
      <c r="U130" s="13">
        <v>14800</v>
      </c>
      <c r="V130" s="13">
        <v>15100</v>
      </c>
      <c r="W130" s="24">
        <v>15400</v>
      </c>
      <c r="X130" s="58" t="str">
        <f>HYPERLINK("http://drinc.ca.gov/DNN/Portals/0/SelfCert/e6c3f3cc-e28f-4f1e-8268-40567291653c.xlsx","WS1")</f>
        <v>WS1</v>
      </c>
      <c r="Y130" s="10" t="s">
        <v>357</v>
      </c>
      <c r="Z130" s="26" t="s">
        <v>13</v>
      </c>
      <c r="AA130" s="13">
        <v>-4419</v>
      </c>
      <c r="AB130" s="66">
        <v>0</v>
      </c>
      <c r="AC130" s="30"/>
      <c r="AD130" s="29"/>
      <c r="AE130" s="32"/>
      <c r="AF130" s="32"/>
      <c r="AG130" s="17"/>
      <c r="AH130" s="27"/>
      <c r="AI130" s="27"/>
      <c r="AJ130" s="11"/>
      <c r="AK130" s="58" t="str">
        <f>HYPERLINK("http://drinc.ca.gov/DNN/Portals/0/SelfCert/3461429d-a0cf-453c-9135-ad6676b82377.pdf","Cert")</f>
        <v>Cert</v>
      </c>
      <c r="AL130" s="58" t="str">
        <f>HYPERLINK("http://drinc.ca.gov/DNN/Portals/0/SelfCert/577ea481-3f7d-4aca-aff1-7119ea75034c.docx","Analysis")</f>
        <v>Analysis</v>
      </c>
    </row>
    <row r="131" spans="1:38" s="19" customFormat="1" ht="14.4" customHeight="1" x14ac:dyDescent="0.3">
      <c r="A131" s="12" t="s">
        <v>468</v>
      </c>
      <c r="B131" s="68" t="s">
        <v>16</v>
      </c>
      <c r="C131" s="73">
        <v>29982</v>
      </c>
      <c r="D131" s="14">
        <v>4457.8999999999996</v>
      </c>
      <c r="E131" s="14">
        <v>20621</v>
      </c>
      <c r="F131" s="18">
        <v>0</v>
      </c>
      <c r="G131" s="68" t="s">
        <v>798</v>
      </c>
      <c r="H131" s="64">
        <v>0.32</v>
      </c>
      <c r="I131" s="64">
        <v>0.14000000000000001</v>
      </c>
      <c r="J131" s="64">
        <v>0.2</v>
      </c>
      <c r="K131" s="71">
        <v>0.12511582598778759</v>
      </c>
      <c r="L131" s="65">
        <v>4538.1000000000004</v>
      </c>
      <c r="M131" s="65">
        <v>4538.1000000000004</v>
      </c>
      <c r="N131" s="13">
        <v>4539.5</v>
      </c>
      <c r="O131" s="13">
        <v>4376.3</v>
      </c>
      <c r="P131" s="30" t="s">
        <v>4</v>
      </c>
      <c r="Q131" s="13">
        <v>4539.3999999999996</v>
      </c>
      <c r="R131" s="13">
        <v>4376.3</v>
      </c>
      <c r="S131" s="23">
        <v>4457.8999999999996</v>
      </c>
      <c r="T131" s="41"/>
      <c r="U131" s="13">
        <v>17772</v>
      </c>
      <c r="V131" s="13">
        <v>19127</v>
      </c>
      <c r="W131" s="24">
        <v>20603</v>
      </c>
      <c r="X131" s="58" t="str">
        <f>HYPERLINK("https://drinc.ca.gov/DNN/Portals/0/SelfCert/17a740bb-ee8d-4fdf-9fd6-d346ed1c5030.xlsx","WS1")</f>
        <v>WS1</v>
      </c>
      <c r="Y131" s="10"/>
      <c r="Z131" s="26" t="s">
        <v>13</v>
      </c>
      <c r="AA131" s="13">
        <v>-16145.2</v>
      </c>
      <c r="AB131" s="66">
        <v>0</v>
      </c>
      <c r="AC131" s="30" t="s">
        <v>18</v>
      </c>
      <c r="AD131" s="29" t="s">
        <v>469</v>
      </c>
      <c r="AE131" s="32"/>
      <c r="AF131" s="32"/>
      <c r="AG131" s="17"/>
      <c r="AH131" s="27"/>
      <c r="AI131" s="27"/>
      <c r="AJ131" s="11"/>
      <c r="AK131" s="58" t="str">
        <f>HYPERLINK("https://drinc.ca.gov/DNN/Portals/0/SelfCert/60e1a645-427d-4475-a43f-7fe86cef0a54.pdf","Cert")</f>
        <v>Cert</v>
      </c>
      <c r="AL131" s="58" t="str">
        <f>HYPERLINK("https://drinc.ca.gov/DNN/Portals/0/SelfCert/79ec3fc5-65f2-4fbd-b4a9-847f50c0cd10.xlsx","Analysis")</f>
        <v>Analysis</v>
      </c>
    </row>
    <row r="132" spans="1:38" s="19" customFormat="1" ht="14.4" customHeight="1" x14ac:dyDescent="0.3">
      <c r="A132" s="12" t="s">
        <v>190</v>
      </c>
      <c r="B132" s="68" t="s">
        <v>40</v>
      </c>
      <c r="C132" s="73">
        <v>134913.66666666666</v>
      </c>
      <c r="D132" s="14">
        <v>15269.6</v>
      </c>
      <c r="E132" s="14">
        <v>15563</v>
      </c>
      <c r="F132" s="18">
        <v>0</v>
      </c>
      <c r="G132" s="68" t="s">
        <v>776</v>
      </c>
      <c r="H132" s="64">
        <v>0.16</v>
      </c>
      <c r="I132" s="64">
        <v>0.16</v>
      </c>
      <c r="J132" s="64">
        <v>0.24</v>
      </c>
      <c r="K132" s="71">
        <v>0.19710792527772591</v>
      </c>
      <c r="L132" s="65">
        <v>15864.2</v>
      </c>
      <c r="M132" s="65">
        <v>15864.2</v>
      </c>
      <c r="N132" s="13">
        <v>5169.3999999999996</v>
      </c>
      <c r="O132" s="13">
        <v>4781.8999999999996</v>
      </c>
      <c r="P132" s="30" t="s">
        <v>5</v>
      </c>
      <c r="Q132" s="13">
        <v>15864.2</v>
      </c>
      <c r="R132" s="13">
        <v>14675.1</v>
      </c>
      <c r="S132" s="23">
        <v>15269.6</v>
      </c>
      <c r="T132" s="41"/>
      <c r="U132" s="13">
        <v>15563</v>
      </c>
      <c r="V132" s="13">
        <v>15563</v>
      </c>
      <c r="W132" s="24">
        <v>15563</v>
      </c>
      <c r="X132" s="58" t="str">
        <f>HYPERLINK("http://drinc.ca.gov/DNN/Portals/0/SelfCert/a6106a9b-9ba5-4f64-b57d-28934612a112.xlsx","WS1")</f>
        <v>WS1</v>
      </c>
      <c r="Y132" s="10" t="s">
        <v>68</v>
      </c>
      <c r="Z132" s="26" t="s">
        <v>13</v>
      </c>
      <c r="AA132" s="13">
        <v>-293.39999999999998</v>
      </c>
      <c r="AB132" s="66">
        <v>0</v>
      </c>
      <c r="AC132" s="30" t="s">
        <v>18</v>
      </c>
      <c r="AD132" s="29" t="s">
        <v>738</v>
      </c>
      <c r="AE132" s="32"/>
      <c r="AF132" s="32"/>
      <c r="AG132" s="17"/>
      <c r="AH132" s="27"/>
      <c r="AI132" s="27"/>
      <c r="AJ132" s="11"/>
      <c r="AK132" s="58" t="str">
        <f>HYPERLINK("http://drinc.ca.gov/DNN/Portals/0/SelfCert/696bd762-34d7-4618-a0ce-9e383cf4ea4d.pdf","Cert")</f>
        <v>Cert</v>
      </c>
      <c r="AL132" s="58" t="str">
        <f>HYPERLINK("http://drinc.ca.gov/DNN/Portals/0/SelfCert/f88b7019-900f-4785-ac5a-2315eefe9cb9.xlsx","Analysis")</f>
        <v>Analysis</v>
      </c>
    </row>
    <row r="133" spans="1:38" s="19" customFormat="1" ht="14.4" customHeight="1" x14ac:dyDescent="0.3">
      <c r="A133" s="12" t="s">
        <v>436</v>
      </c>
      <c r="B133" s="68" t="s">
        <v>16</v>
      </c>
      <c r="C133" s="73">
        <v>69937.583333333328</v>
      </c>
      <c r="D133" s="14">
        <v>21151.5</v>
      </c>
      <c r="E133" s="14">
        <v>21152</v>
      </c>
      <c r="F133" s="18">
        <v>0</v>
      </c>
      <c r="G133" s="68" t="s">
        <v>776</v>
      </c>
      <c r="H133" s="64">
        <v>0.36</v>
      </c>
      <c r="I133" s="64">
        <v>0.36</v>
      </c>
      <c r="J133" s="64">
        <v>0.28000000000000003</v>
      </c>
      <c r="K133" s="71">
        <v>0.23025119205623545</v>
      </c>
      <c r="L133" s="65">
        <v>21165.1</v>
      </c>
      <c r="M133" s="65">
        <v>21165.1</v>
      </c>
      <c r="N133" s="13">
        <v>6896.7</v>
      </c>
      <c r="O133" s="13">
        <v>6887.8</v>
      </c>
      <c r="P133" s="30" t="s">
        <v>5</v>
      </c>
      <c r="Q133" s="13">
        <v>21165.1</v>
      </c>
      <c r="R133" s="13">
        <v>21137.9</v>
      </c>
      <c r="S133" s="23">
        <v>21151.5</v>
      </c>
      <c r="T133" s="41"/>
      <c r="U133" s="13">
        <v>21152</v>
      </c>
      <c r="V133" s="13">
        <v>21152</v>
      </c>
      <c r="W133" s="24">
        <v>21152</v>
      </c>
      <c r="X133" s="58" t="str">
        <f>HYPERLINK("http://drinc.ca.gov/DNN/Portals/0/SelfCert/2a6438fd-6902-4699-ada7-9ec6e7328e23.xlsx","WS1")</f>
        <v>WS1</v>
      </c>
      <c r="Y133" s="10" t="s">
        <v>68</v>
      </c>
      <c r="Z133" s="26" t="s">
        <v>13</v>
      </c>
      <c r="AA133" s="13">
        <v>-0.5</v>
      </c>
      <c r="AB133" s="15">
        <v>0</v>
      </c>
      <c r="AC133" s="30" t="s">
        <v>18</v>
      </c>
      <c r="AD133" s="29" t="s">
        <v>712</v>
      </c>
      <c r="AE133" s="32"/>
      <c r="AF133" s="32"/>
      <c r="AG133" s="17"/>
      <c r="AH133" s="27"/>
      <c r="AI133" s="27"/>
      <c r="AJ133" s="11"/>
      <c r="AK133" s="58" t="str">
        <f>HYPERLINK("http://drinc.ca.gov/DNN/Portals/0/SelfCert/daf369d8-11a4-49c0-b8f8-3be83116c486.pdf","Cert")</f>
        <v>Cert</v>
      </c>
      <c r="AL133" s="58" t="str">
        <f>HYPERLINK("http://drinc.ca.gov/DNN/Portals/0/SelfCert/4693a61b-272e-4a00-ab2d-0351f5b9f3d1.xlsx","Analysis")</f>
        <v>Analysis</v>
      </c>
    </row>
    <row r="134" spans="1:38" s="19" customFormat="1" ht="14.4" customHeight="1" x14ac:dyDescent="0.3">
      <c r="A134" s="12" t="s">
        <v>407</v>
      </c>
      <c r="B134" s="68" t="s">
        <v>16</v>
      </c>
      <c r="C134" s="73">
        <v>48579.583333333336</v>
      </c>
      <c r="D134" s="45">
        <v>10286.950000000001</v>
      </c>
      <c r="E134" s="45">
        <v>9133</v>
      </c>
      <c r="F134" s="48">
        <v>0.11</v>
      </c>
      <c r="G134" s="69" t="s">
        <v>831</v>
      </c>
      <c r="H134" s="64">
        <v>0.2</v>
      </c>
      <c r="I134" s="64">
        <v>0.18</v>
      </c>
      <c r="J134" s="64">
        <v>0.16</v>
      </c>
      <c r="K134" s="71">
        <v>0.12662458225027862</v>
      </c>
      <c r="L134" s="65">
        <v>10412.700000000001</v>
      </c>
      <c r="M134" s="65">
        <v>10412.700000000001</v>
      </c>
      <c r="N134" s="79">
        <v>10413</v>
      </c>
      <c r="O134" s="45">
        <v>10161</v>
      </c>
      <c r="P134" s="78" t="s">
        <v>4</v>
      </c>
      <c r="Q134" s="79">
        <v>10413</v>
      </c>
      <c r="R134" s="45">
        <v>10161</v>
      </c>
      <c r="S134" s="80">
        <v>10286.950000000001</v>
      </c>
      <c r="T134" s="76"/>
      <c r="U134" s="79">
        <v>10471</v>
      </c>
      <c r="V134" s="79">
        <v>10091</v>
      </c>
      <c r="W134" s="80">
        <v>9133</v>
      </c>
      <c r="X134" s="38" t="str">
        <f>HYPERLINK("http://www.drinc.ca.gov/DNN/Portals/0/SelfCert/c7dca4c3-717c-4190-9e78-f8a3eef310f6.xlsx","WS1")</f>
        <v>WS1</v>
      </c>
      <c r="Y134" s="76"/>
      <c r="Z134" s="81" t="s">
        <v>13</v>
      </c>
      <c r="AA134" s="45">
        <v>1153.9500000000007</v>
      </c>
      <c r="AB134" s="75">
        <v>0.11217610662052413</v>
      </c>
      <c r="AC134" s="78" t="s">
        <v>18</v>
      </c>
      <c r="AD134" s="29" t="s">
        <v>408</v>
      </c>
      <c r="AE134" s="32"/>
      <c r="AF134" s="32"/>
      <c r="AG134" s="17"/>
      <c r="AH134" s="27"/>
      <c r="AI134" s="27"/>
      <c r="AJ134" s="11"/>
      <c r="AK134" s="58" t="str">
        <f>HYPERLINK("http://drinc.ca.gov/DNN/Portals/0/SelfCert/e8ffaae6-3ac5-4ed2-bf1a-469dddb07aed.pdf","Cert")</f>
        <v>Cert</v>
      </c>
      <c r="AL134" s="38" t="str">
        <f>HYPERLINK("http://www.drinc.ca.gov/DNN/Portals/0/SelfCert/99b15fce-3ab1-4313-8638-f1992de449e5.pdf","Analysis")</f>
        <v>Analysis</v>
      </c>
    </row>
    <row r="135" spans="1:38" s="19" customFormat="1" ht="14.4" customHeight="1" x14ac:dyDescent="0.3">
      <c r="A135" s="12" t="s">
        <v>335</v>
      </c>
      <c r="B135" s="68" t="s">
        <v>58</v>
      </c>
      <c r="C135" s="73">
        <v>3260.1666666666665</v>
      </c>
      <c r="D135" s="14">
        <v>382.2</v>
      </c>
      <c r="E135" s="14">
        <v>702</v>
      </c>
      <c r="F135" s="18">
        <v>0</v>
      </c>
      <c r="G135" s="68" t="s">
        <v>776</v>
      </c>
      <c r="H135" s="64">
        <v>0.16</v>
      </c>
      <c r="I135" s="64">
        <v>0.16</v>
      </c>
      <c r="J135" s="64">
        <v>0.32</v>
      </c>
      <c r="K135" s="71">
        <v>0.31395348837209314</v>
      </c>
      <c r="L135" s="65">
        <v>432.3</v>
      </c>
      <c r="M135" s="65">
        <v>432.3</v>
      </c>
      <c r="N135" s="13">
        <v>140.9</v>
      </c>
      <c r="O135" s="13">
        <v>108.2</v>
      </c>
      <c r="P135" s="30" t="s">
        <v>5</v>
      </c>
      <c r="Q135" s="13">
        <v>432.5</v>
      </c>
      <c r="R135" s="13">
        <v>332</v>
      </c>
      <c r="S135" s="23">
        <v>382.2</v>
      </c>
      <c r="T135" s="41"/>
      <c r="U135" s="13">
        <v>702</v>
      </c>
      <c r="V135" s="13">
        <v>702</v>
      </c>
      <c r="W135" s="24">
        <v>702</v>
      </c>
      <c r="X135" s="58" t="str">
        <f>HYPERLINK("http://drinc.ca.gov/DNN/Portals/0/SelfCert/a7a1efa2-add0-4489-b6bc-2407ab1e2ff3.xlsx","WS1")</f>
        <v>WS1</v>
      </c>
      <c r="Y135" s="10" t="s">
        <v>736</v>
      </c>
      <c r="Z135" s="26" t="s">
        <v>13</v>
      </c>
      <c r="AA135" s="13">
        <v>-319.8</v>
      </c>
      <c r="AB135" s="66">
        <v>0</v>
      </c>
      <c r="AC135" s="30" t="s">
        <v>18</v>
      </c>
      <c r="AD135" s="29" t="s">
        <v>712</v>
      </c>
      <c r="AE135" s="32"/>
      <c r="AF135" s="32"/>
      <c r="AG135" s="17"/>
      <c r="AH135" s="27"/>
      <c r="AI135" s="27"/>
      <c r="AJ135" s="11"/>
      <c r="AK135" s="58" t="str">
        <f>HYPERLINK("http://drinc.ca.gov/DNN/Portals/0/SelfCert/aa528492-6905-4923-9dc4-63c0106d6839.pdf","Cert")</f>
        <v>Cert</v>
      </c>
      <c r="AL135" s="58" t="str">
        <f>HYPERLINK("http://drinc.ca.gov/DNN/Portals/0/SelfCert/59f9c650-b523-45dc-9e8a-107598f3e862.xlsx","Analysis")</f>
        <v>Analysis</v>
      </c>
    </row>
    <row r="136" spans="1:38" s="19" customFormat="1" ht="14.4" customHeight="1" x14ac:dyDescent="0.3">
      <c r="A136" s="12" t="s">
        <v>708</v>
      </c>
      <c r="B136" s="68" t="s">
        <v>16</v>
      </c>
      <c r="C136" s="73">
        <v>43328</v>
      </c>
      <c r="D136" s="14">
        <v>11270</v>
      </c>
      <c r="E136" s="14">
        <v>9525</v>
      </c>
      <c r="F136" s="18">
        <v>0.15</v>
      </c>
      <c r="G136" s="68" t="s">
        <v>776</v>
      </c>
      <c r="H136" s="64">
        <v>0.24</v>
      </c>
      <c r="I136" s="64">
        <v>0.24</v>
      </c>
      <c r="J136" s="64">
        <v>0.21</v>
      </c>
      <c r="K136" s="71">
        <v>0.18311027332704999</v>
      </c>
      <c r="L136" s="65">
        <v>11201</v>
      </c>
      <c r="M136" s="65">
        <v>11201</v>
      </c>
      <c r="N136" s="13">
        <v>11202</v>
      </c>
      <c r="O136" s="13">
        <v>11338</v>
      </c>
      <c r="P136" s="30" t="s">
        <v>4</v>
      </c>
      <c r="Q136" s="13">
        <v>11202</v>
      </c>
      <c r="R136" s="13">
        <v>11338</v>
      </c>
      <c r="S136" s="23">
        <v>11270</v>
      </c>
      <c r="T136" s="41"/>
      <c r="U136" s="13">
        <v>10368</v>
      </c>
      <c r="V136" s="13">
        <v>9525</v>
      </c>
      <c r="W136" s="24">
        <v>9525</v>
      </c>
      <c r="X136" s="58" t="str">
        <f>HYPERLINK("http://drinc.ca.gov/DNN/Portals/0/SelfCert/bfdad115-90f2-4cac-a0ac-92155376e369.xlsx","WS1")</f>
        <v>WS1</v>
      </c>
      <c r="Y136" s="10"/>
      <c r="Z136" s="26" t="s">
        <v>13</v>
      </c>
      <c r="AA136" s="13">
        <v>1745</v>
      </c>
      <c r="AB136" s="15">
        <v>0.15</v>
      </c>
      <c r="AC136" s="30" t="s">
        <v>14</v>
      </c>
      <c r="AD136" s="29"/>
      <c r="AE136" s="32"/>
      <c r="AF136" s="32"/>
      <c r="AG136" s="17"/>
      <c r="AH136" s="27"/>
      <c r="AI136" s="27"/>
      <c r="AJ136" s="11"/>
      <c r="AK136" s="58" t="str">
        <f>HYPERLINK("http://drinc.ca.gov/DNN/Portals/0/SelfCert/20ee27a4-67ff-4c86-9767-f46bcbfff193.pdf","Cert")</f>
        <v>Cert</v>
      </c>
      <c r="AL136" s="63" t="s">
        <v>793</v>
      </c>
    </row>
    <row r="137" spans="1:38" s="19" customFormat="1" ht="14.4" customHeight="1" x14ac:dyDescent="0.3">
      <c r="A137" s="12" t="s">
        <v>262</v>
      </c>
      <c r="B137" s="68" t="s">
        <v>38</v>
      </c>
      <c r="C137" s="73">
        <v>120620.08333333333</v>
      </c>
      <c r="D137" s="14">
        <v>19801.599999999999</v>
      </c>
      <c r="E137" s="14">
        <v>39055</v>
      </c>
      <c r="F137" s="18">
        <v>0</v>
      </c>
      <c r="G137" s="68" t="s">
        <v>776</v>
      </c>
      <c r="H137" s="64">
        <v>0.16</v>
      </c>
      <c r="I137" s="64">
        <v>0.16</v>
      </c>
      <c r="J137" s="64">
        <v>0.27</v>
      </c>
      <c r="K137" s="71">
        <v>0.25562226518774811</v>
      </c>
      <c r="L137" s="65">
        <v>19060.5</v>
      </c>
      <c r="M137" s="65">
        <v>19060.5</v>
      </c>
      <c r="N137" s="13">
        <v>6210.9</v>
      </c>
      <c r="O137" s="13">
        <v>6693.9</v>
      </c>
      <c r="P137" s="30" t="s">
        <v>5</v>
      </c>
      <c r="Q137" s="13">
        <v>19060.5</v>
      </c>
      <c r="R137" s="13">
        <v>20542.8</v>
      </c>
      <c r="S137" s="23">
        <v>19801.599999999999</v>
      </c>
      <c r="T137" s="41"/>
      <c r="U137" s="13">
        <v>39055</v>
      </c>
      <c r="V137" s="13">
        <v>39055</v>
      </c>
      <c r="W137" s="24">
        <v>39055</v>
      </c>
      <c r="X137" s="58" t="str">
        <f>HYPERLINK("http://drinc.ca.gov/DNN/Portals/0/SelfCert/6d8cfd55-22be-481c-be0a-30c0b17acc5c.xlsx","WS1")</f>
        <v>WS1</v>
      </c>
      <c r="Y137" s="10" t="s">
        <v>68</v>
      </c>
      <c r="Z137" s="26" t="s">
        <v>13</v>
      </c>
      <c r="AA137" s="13">
        <v>-19253.400000000001</v>
      </c>
      <c r="AB137" s="66">
        <v>0</v>
      </c>
      <c r="AC137" s="30" t="s">
        <v>18</v>
      </c>
      <c r="AD137" s="29" t="s">
        <v>712</v>
      </c>
      <c r="AE137" s="32"/>
      <c r="AF137" s="32"/>
      <c r="AG137" s="17"/>
      <c r="AH137" s="27"/>
      <c r="AI137" s="27"/>
      <c r="AJ137" s="11"/>
      <c r="AK137" s="58" t="str">
        <f>HYPERLINK("http://drinc.ca.gov/DNN/Portals/0/SelfCert/adc3f602-36ec-4f32-89fa-317209970173.pdf","Cert")</f>
        <v>Cert</v>
      </c>
      <c r="AL137" s="58" t="str">
        <f>HYPERLINK("http://drinc.ca.gov/DNN/Portals/0/SelfCert/06ff59f9-965e-4fee-a7f5-2b7fc062e734.xlsx","Analysis")</f>
        <v>Analysis</v>
      </c>
    </row>
    <row r="138" spans="1:38" s="19" customFormat="1" ht="14.4" customHeight="1" x14ac:dyDescent="0.3">
      <c r="A138" s="12" t="s">
        <v>722</v>
      </c>
      <c r="B138" s="68" t="s">
        <v>46</v>
      </c>
      <c r="C138" s="73">
        <v>26159</v>
      </c>
      <c r="D138" s="14">
        <v>4159.3</v>
      </c>
      <c r="E138" s="14">
        <v>3449.4</v>
      </c>
      <c r="F138" s="18">
        <v>0.17</v>
      </c>
      <c r="G138" s="68" t="s">
        <v>776</v>
      </c>
      <c r="H138" s="64">
        <v>0.36</v>
      </c>
      <c r="I138" s="64">
        <v>0.32</v>
      </c>
      <c r="J138" s="64">
        <v>0.24</v>
      </c>
      <c r="K138" s="71">
        <v>0.41871750433275567</v>
      </c>
      <c r="L138" s="65">
        <v>4542.6000000000004</v>
      </c>
      <c r="M138" s="65">
        <v>4542.6000000000004</v>
      </c>
      <c r="N138" s="13">
        <v>1461.9</v>
      </c>
      <c r="O138" s="13">
        <v>1248.7</v>
      </c>
      <c r="P138" s="30" t="s">
        <v>5</v>
      </c>
      <c r="Q138" s="13">
        <v>4486.3999999999996</v>
      </c>
      <c r="R138" s="13">
        <v>3832.2</v>
      </c>
      <c r="S138" s="23">
        <v>4159.3</v>
      </c>
      <c r="T138" s="41"/>
      <c r="U138" s="13">
        <v>4486.4307465299999</v>
      </c>
      <c r="V138" s="13">
        <v>3832.2</v>
      </c>
      <c r="W138" s="24">
        <v>3449.4</v>
      </c>
      <c r="X138" s="58" t="str">
        <f>HYPERLINK("https://drinc.ca.gov/DNN/Portals/0/SelfCert/d0d37f00-8bab-45c6-9eb8-6d44f1cda6de.xlsx","WS1")</f>
        <v>WS1</v>
      </c>
      <c r="Y138" s="10"/>
      <c r="Z138" s="26" t="s">
        <v>13</v>
      </c>
      <c r="AA138" s="13">
        <v>710</v>
      </c>
      <c r="AB138" s="15">
        <v>0.17</v>
      </c>
      <c r="AC138" s="30" t="s">
        <v>18</v>
      </c>
      <c r="AD138" s="29" t="s">
        <v>723</v>
      </c>
      <c r="AE138" s="32"/>
      <c r="AF138" s="32"/>
      <c r="AG138" s="17"/>
      <c r="AH138" s="27"/>
      <c r="AI138" s="27"/>
      <c r="AJ138" s="11"/>
      <c r="AK138" s="58" t="str">
        <f>HYPERLINK("https://drinc.ca.gov/DNN/Portals/0/SelfCert/eee9ce13-9f53-42bb-b63b-eba0047b2f9a.pdf","Cert")</f>
        <v>Cert</v>
      </c>
      <c r="AL138" s="58" t="str">
        <f>HYPERLINK("http://drinc.ca.gov/DNN/Portals/0/SelfCert/e7337a08-9fd5-4aef-b764-d1274ec825df.xls","Analysis")</f>
        <v>Analysis</v>
      </c>
    </row>
    <row r="139" spans="1:38" s="19" customFormat="1" ht="14.4" customHeight="1" x14ac:dyDescent="0.3">
      <c r="A139" s="12" t="s">
        <v>261</v>
      </c>
      <c r="B139" s="68" t="s">
        <v>40</v>
      </c>
      <c r="C139" s="73">
        <v>61584</v>
      </c>
      <c r="D139" s="14">
        <v>8155.3</v>
      </c>
      <c r="E139" s="14">
        <v>8245</v>
      </c>
      <c r="F139" s="18">
        <v>0</v>
      </c>
      <c r="G139" s="68" t="s">
        <v>776</v>
      </c>
      <c r="H139" s="64">
        <v>0.08</v>
      </c>
      <c r="I139" s="64">
        <v>0.08</v>
      </c>
      <c r="J139" s="64">
        <v>0.21</v>
      </c>
      <c r="K139" s="71">
        <v>0.22496281606346069</v>
      </c>
      <c r="L139" s="65">
        <v>8495</v>
      </c>
      <c r="M139" s="65">
        <v>8495</v>
      </c>
      <c r="N139" s="13">
        <v>2768.1</v>
      </c>
      <c r="O139" s="13">
        <v>2546.6999999999998</v>
      </c>
      <c r="P139" s="30" t="s">
        <v>5</v>
      </c>
      <c r="Q139" s="13">
        <v>8495</v>
      </c>
      <c r="R139" s="13">
        <v>7815.6</v>
      </c>
      <c r="S139" s="23">
        <v>8155.3</v>
      </c>
      <c r="T139" s="41"/>
      <c r="U139" s="13">
        <v>8245</v>
      </c>
      <c r="V139" s="13">
        <v>8245</v>
      </c>
      <c r="W139" s="24">
        <v>8245</v>
      </c>
      <c r="X139" s="58" t="str">
        <f>HYPERLINK("http://drinc.ca.gov/DNN/Portals/0/SelfCert/cb6230ee-5ff6-4e07-8503-bb036e47eb42.xlsx","WS1")</f>
        <v>WS1</v>
      </c>
      <c r="Y139" s="10" t="s">
        <v>68</v>
      </c>
      <c r="Z139" s="26" t="s">
        <v>13</v>
      </c>
      <c r="AA139" s="13">
        <v>-89.7</v>
      </c>
      <c r="AB139" s="66">
        <v>0</v>
      </c>
      <c r="AC139" s="30" t="s">
        <v>18</v>
      </c>
      <c r="AD139" s="29" t="s">
        <v>738</v>
      </c>
      <c r="AE139" s="32"/>
      <c r="AF139" s="32"/>
      <c r="AG139" s="17"/>
      <c r="AH139" s="27"/>
      <c r="AI139" s="27"/>
      <c r="AJ139" s="11"/>
      <c r="AK139" s="58" t="str">
        <f>HYPERLINK("http://drinc.ca.gov/DNN/Portals/0/SelfCert/9c7bf7de-a1dc-4c3f-bd3a-421181a4d61a.pdf","Cert")</f>
        <v>Cert</v>
      </c>
      <c r="AL139" s="58" t="str">
        <f>HYPERLINK("http://drinc.ca.gov/DNN/Portals/0/SelfCert/06367166-13dc-46c1-a0de-3cc0fb893fa4.xlsx","Analysis")</f>
        <v>Analysis</v>
      </c>
    </row>
    <row r="140" spans="1:38" s="19" customFormat="1" ht="14.4" customHeight="1" x14ac:dyDescent="0.3">
      <c r="A140" s="12" t="s">
        <v>443</v>
      </c>
      <c r="B140" s="68" t="s">
        <v>46</v>
      </c>
      <c r="C140" s="73">
        <v>62363</v>
      </c>
      <c r="D140" s="14">
        <v>18094.8</v>
      </c>
      <c r="E140" s="14">
        <v>3487689</v>
      </c>
      <c r="F140" s="18">
        <v>0</v>
      </c>
      <c r="G140" s="68" t="s">
        <v>776</v>
      </c>
      <c r="H140" s="64">
        <v>0.32</v>
      </c>
      <c r="I140" s="64">
        <v>0.3</v>
      </c>
      <c r="J140" s="64">
        <v>0.22</v>
      </c>
      <c r="K140" s="71">
        <v>0.18589369158878499</v>
      </c>
      <c r="L140" s="65">
        <v>18958</v>
      </c>
      <c r="M140" s="65">
        <v>18958</v>
      </c>
      <c r="N140" s="13">
        <v>18877.599999999999</v>
      </c>
      <c r="O140" s="13">
        <v>17311.900000000001</v>
      </c>
      <c r="P140" s="30" t="s">
        <v>4</v>
      </c>
      <c r="Q140" s="13">
        <v>18877.599999999999</v>
      </c>
      <c r="R140" s="13">
        <v>17311.900000000001</v>
      </c>
      <c r="S140" s="23">
        <v>18094.8</v>
      </c>
      <c r="T140" s="41"/>
      <c r="U140" s="13">
        <v>3706759</v>
      </c>
      <c r="V140" s="13">
        <v>3595556</v>
      </c>
      <c r="W140" s="24">
        <v>3487689</v>
      </c>
      <c r="X140" s="58" t="str">
        <f>HYPERLINK("http://drinc.ca.gov/DNN/Portals/0/SelfCert/0a267364-e71f-4ad1-9163-577b9e329df4.xlsx","WS1")</f>
        <v>WS1</v>
      </c>
      <c r="Y140" s="10"/>
      <c r="Z140" s="26" t="s">
        <v>13</v>
      </c>
      <c r="AA140" s="13">
        <v>-3469594.3</v>
      </c>
      <c r="AB140" s="66">
        <v>0</v>
      </c>
      <c r="AC140" s="30" t="s">
        <v>18</v>
      </c>
      <c r="AD140" s="29" t="s">
        <v>444</v>
      </c>
      <c r="AE140" s="32"/>
      <c r="AF140" s="32"/>
      <c r="AG140" s="17"/>
      <c r="AH140" s="27"/>
      <c r="AI140" s="27"/>
      <c r="AJ140" s="11"/>
      <c r="AK140" s="58" t="str">
        <f>HYPERLINK("http://drinc.ca.gov/DNN/Portals/0/SelfCert/3ee8eaea-08ee-4e61-8bb0-05ac8683229e.pdf","Cert")</f>
        <v>Cert</v>
      </c>
      <c r="AL140" s="58" t="str">
        <f>HYPERLINK("http://drinc.ca.gov/DNN/Portals/0/SelfCert/81ac03eb-258a-4335-be83-cd536b8493fe.pdf","Analysis")</f>
        <v>Analysis</v>
      </c>
    </row>
    <row r="141" spans="1:38" s="19" customFormat="1" ht="14.4" customHeight="1" x14ac:dyDescent="0.3">
      <c r="A141" s="12" t="s">
        <v>345</v>
      </c>
      <c r="B141" s="68" t="s">
        <v>27</v>
      </c>
      <c r="C141" s="73">
        <v>171150.33333333334</v>
      </c>
      <c r="D141" s="14">
        <v>26598.6</v>
      </c>
      <c r="E141" s="14">
        <v>53686</v>
      </c>
      <c r="F141" s="18">
        <v>0</v>
      </c>
      <c r="G141" s="68" t="s">
        <v>776</v>
      </c>
      <c r="H141" s="64">
        <v>0.2</v>
      </c>
      <c r="I141" s="64">
        <v>0.18</v>
      </c>
      <c r="J141" s="64">
        <v>0.23</v>
      </c>
      <c r="K141" s="71">
        <v>0.22419238107770245</v>
      </c>
      <c r="L141" s="65">
        <v>27649.8</v>
      </c>
      <c r="M141" s="65">
        <v>27649.8</v>
      </c>
      <c r="N141" s="13">
        <v>9009.7000000000007</v>
      </c>
      <c r="O141" s="13">
        <v>8324.7000000000007</v>
      </c>
      <c r="P141" s="30" t="s">
        <v>5</v>
      </c>
      <c r="Q141" s="13">
        <v>27649.8</v>
      </c>
      <c r="R141" s="13">
        <v>25547.5</v>
      </c>
      <c r="S141" s="23">
        <v>26598.6</v>
      </c>
      <c r="T141" s="41"/>
      <c r="U141" s="13">
        <v>90620</v>
      </c>
      <c r="V141" s="13">
        <v>90620</v>
      </c>
      <c r="W141" s="24">
        <v>53686</v>
      </c>
      <c r="X141" s="58" t="str">
        <f>HYPERLINK("http://drinc.ca.gov/DNN/Portals/0/SelfCert/420d6c0f-0e16-4a40-ae14-83952f170792.xlsx","WS1")</f>
        <v>WS1</v>
      </c>
      <c r="Y141" s="10" t="s">
        <v>346</v>
      </c>
      <c r="Z141" s="26" t="s">
        <v>13</v>
      </c>
      <c r="AA141" s="13">
        <v>-27087.4</v>
      </c>
      <c r="AB141" s="66">
        <v>0</v>
      </c>
      <c r="AC141" s="30" t="s">
        <v>18</v>
      </c>
      <c r="AD141" s="29" t="s">
        <v>712</v>
      </c>
      <c r="AE141" s="32"/>
      <c r="AF141" s="32"/>
      <c r="AG141" s="17"/>
      <c r="AH141" s="27"/>
      <c r="AI141" s="27"/>
      <c r="AJ141" s="11"/>
      <c r="AK141" s="58" t="str">
        <f>HYPERLINK("http://drinc.ca.gov/DNN/Portals/0/SelfCert/074090ac-32df-40dd-b950-3973ed74e32b.pdf","Cert")</f>
        <v>Cert</v>
      </c>
      <c r="AL141" s="58" t="str">
        <f>HYPERLINK("http://drinc.ca.gov/DNN/Portals/0/SelfCert/fe73e7f2-ff95-4146-9b42-aa7f2019ee74.xlsx","Analysis")</f>
        <v>Analysis</v>
      </c>
    </row>
    <row r="142" spans="1:38" s="19" customFormat="1" ht="14.4" customHeight="1" x14ac:dyDescent="0.3">
      <c r="A142" s="12" t="s">
        <v>167</v>
      </c>
      <c r="B142" s="68" t="s">
        <v>50</v>
      </c>
      <c r="C142" s="73">
        <v>7129</v>
      </c>
      <c r="D142" s="14">
        <v>1413.4</v>
      </c>
      <c r="E142" s="14">
        <v>3612</v>
      </c>
      <c r="F142" s="18">
        <v>0</v>
      </c>
      <c r="G142" s="68" t="s">
        <v>776</v>
      </c>
      <c r="H142" s="64">
        <v>0.28000000000000003</v>
      </c>
      <c r="I142" s="64">
        <v>0.26</v>
      </c>
      <c r="J142" s="64">
        <v>0.33</v>
      </c>
      <c r="K142" s="71">
        <v>0.34563212154096579</v>
      </c>
      <c r="L142" s="65">
        <v>1508.6</v>
      </c>
      <c r="M142" s="65">
        <v>1508.6</v>
      </c>
      <c r="N142" s="13">
        <v>491.6</v>
      </c>
      <c r="O142" s="13">
        <v>429.5</v>
      </c>
      <c r="P142" s="30" t="s">
        <v>5</v>
      </c>
      <c r="Q142" s="13">
        <v>1508.6</v>
      </c>
      <c r="R142" s="13">
        <v>1318.2</v>
      </c>
      <c r="S142" s="23">
        <v>1413.4</v>
      </c>
      <c r="T142" s="41"/>
      <c r="U142" s="13">
        <v>3612</v>
      </c>
      <c r="V142" s="13">
        <v>3612</v>
      </c>
      <c r="W142" s="24">
        <v>3612</v>
      </c>
      <c r="X142" s="58" t="str">
        <f>HYPERLINK("http://drinc.ca.gov/DNN/Portals/0/SelfCert/907f9bdf-9db2-4dd9-bb18-df16ea54a4a0.xlsx","WS1")</f>
        <v>WS1</v>
      </c>
      <c r="Y142" s="10" t="s">
        <v>68</v>
      </c>
      <c r="Z142" s="26" t="s">
        <v>13</v>
      </c>
      <c r="AA142" s="13">
        <v>-2198.6</v>
      </c>
      <c r="AB142" s="66">
        <v>0</v>
      </c>
      <c r="AC142" s="30" t="s">
        <v>18</v>
      </c>
      <c r="AD142" s="29" t="s">
        <v>712</v>
      </c>
      <c r="AE142" s="32"/>
      <c r="AF142" s="32"/>
      <c r="AG142" s="17"/>
      <c r="AH142" s="27"/>
      <c r="AI142" s="27"/>
      <c r="AJ142" s="11"/>
      <c r="AK142" s="58" t="str">
        <f>HYPERLINK("http://drinc.ca.gov/DNN/Portals/0/SelfCert/f52baed5-9d6c-4180-9ce7-2951cfaeb66c.pdf","Cert")</f>
        <v>Cert</v>
      </c>
      <c r="AL142" s="58" t="str">
        <f>HYPERLINK("http://drinc.ca.gov/DNN/Portals/0/SelfCert/3438c03c-2694-46b4-8ef8-8e4f23d08e51.xlsx","Analysis")</f>
        <v>Analysis</v>
      </c>
    </row>
    <row r="143" spans="1:38" s="19" customFormat="1" ht="14.4" customHeight="1" x14ac:dyDescent="0.3">
      <c r="A143" s="12" t="s">
        <v>151</v>
      </c>
      <c r="B143" s="68" t="s">
        <v>16</v>
      </c>
      <c r="C143" s="73">
        <v>19454.666666666668</v>
      </c>
      <c r="D143" s="14">
        <v>8267.4</v>
      </c>
      <c r="E143" s="14">
        <v>8272</v>
      </c>
      <c r="F143" s="18">
        <v>0</v>
      </c>
      <c r="G143" s="68" t="s">
        <v>776</v>
      </c>
      <c r="H143" s="64">
        <v>0.36</v>
      </c>
      <c r="I143" s="64">
        <v>0.34</v>
      </c>
      <c r="J143" s="64">
        <v>0.33</v>
      </c>
      <c r="K143" s="71">
        <v>0.27559338288180302</v>
      </c>
      <c r="L143" s="65">
        <v>8388.4</v>
      </c>
      <c r="M143" s="65">
        <v>8388.4</v>
      </c>
      <c r="N143" s="13">
        <v>2733.4</v>
      </c>
      <c r="O143" s="13">
        <v>2654.5</v>
      </c>
      <c r="P143" s="30" t="s">
        <v>5</v>
      </c>
      <c r="Q143" s="13">
        <v>8388.4</v>
      </c>
      <c r="R143" s="13">
        <v>8146.4</v>
      </c>
      <c r="S143" s="23">
        <v>8267.4</v>
      </c>
      <c r="T143" s="41"/>
      <c r="U143" s="13">
        <v>8272</v>
      </c>
      <c r="V143" s="13">
        <v>8272</v>
      </c>
      <c r="W143" s="24">
        <v>8272</v>
      </c>
      <c r="X143" s="58" t="str">
        <f>HYPERLINK("http://drinc.ca.gov/DNN/Portals/0/SelfCert/b0c329c2-9608-42ef-a61e-eaa4a9496370.xlsx","WS1")</f>
        <v>WS1</v>
      </c>
      <c r="Y143" s="10" t="s">
        <v>68</v>
      </c>
      <c r="Z143" s="26" t="s">
        <v>13</v>
      </c>
      <c r="AA143" s="13">
        <v>-4.5999999999999996</v>
      </c>
      <c r="AB143" s="15">
        <v>0</v>
      </c>
      <c r="AC143" s="30" t="s">
        <v>18</v>
      </c>
      <c r="AD143" s="29" t="s">
        <v>712</v>
      </c>
      <c r="AE143" s="32"/>
      <c r="AF143" s="32"/>
      <c r="AG143" s="17"/>
      <c r="AH143" s="27"/>
      <c r="AI143" s="27"/>
      <c r="AJ143" s="11"/>
      <c r="AK143" s="58" t="str">
        <f>HYPERLINK("http://drinc.ca.gov/DNN/Portals/0/SelfCert/e759c0f9-8349-4f43-93cc-9dbb0e3439ef.pdf","Cert")</f>
        <v>Cert</v>
      </c>
      <c r="AL143" s="58" t="str">
        <f>HYPERLINK("http://drinc.ca.gov/DNN/Portals/0/SelfCert/2b2a1d10-7aa8-49fc-bac0-3ec034566453.xlsx","Analysis")</f>
        <v>Analysis</v>
      </c>
    </row>
    <row r="144" spans="1:38" s="19" customFormat="1" ht="14.4" customHeight="1" x14ac:dyDescent="0.3">
      <c r="A144" s="12" t="s">
        <v>713</v>
      </c>
      <c r="B144" s="68" t="s">
        <v>23</v>
      </c>
      <c r="C144" s="73">
        <v>30325</v>
      </c>
      <c r="D144" s="14">
        <v>8605</v>
      </c>
      <c r="E144" s="14">
        <v>11073</v>
      </c>
      <c r="F144" s="18">
        <v>0</v>
      </c>
      <c r="G144" s="68" t="s">
        <v>776</v>
      </c>
      <c r="H144" s="64">
        <v>0.32</v>
      </c>
      <c r="I144" s="64">
        <v>0.28000000000000003</v>
      </c>
      <c r="J144" s="64">
        <v>0.28999999999999998</v>
      </c>
      <c r="K144" s="71">
        <v>0.24355005159958709</v>
      </c>
      <c r="L144" s="65">
        <v>8595</v>
      </c>
      <c r="M144" s="65">
        <v>8595</v>
      </c>
      <c r="N144" s="13">
        <v>8743</v>
      </c>
      <c r="O144" s="13">
        <v>8467</v>
      </c>
      <c r="P144" s="30" t="s">
        <v>4</v>
      </c>
      <c r="Q144" s="13">
        <v>8743</v>
      </c>
      <c r="R144" s="13">
        <v>8467</v>
      </c>
      <c r="S144" s="23">
        <v>8605</v>
      </c>
      <c r="T144" s="41"/>
      <c r="U144" s="13">
        <v>11073</v>
      </c>
      <c r="V144" s="13">
        <v>11073</v>
      </c>
      <c r="W144" s="24">
        <v>11073</v>
      </c>
      <c r="X144" s="58" t="str">
        <f>HYPERLINK("http://drinc.ca.gov/DNN/Portals/0/SelfCert/5360fd94-5328-4629-8f11-f0de28bf19c6.xlsx","WS1")</f>
        <v>WS1</v>
      </c>
      <c r="Y144" s="10" t="s">
        <v>714</v>
      </c>
      <c r="Z144" s="26" t="s">
        <v>13</v>
      </c>
      <c r="AA144" s="13">
        <v>-2468</v>
      </c>
      <c r="AB144" s="66">
        <v>0</v>
      </c>
      <c r="AC144" s="30" t="s">
        <v>14</v>
      </c>
      <c r="AD144" s="29"/>
      <c r="AE144" s="32"/>
      <c r="AF144" s="32"/>
      <c r="AG144" s="17"/>
      <c r="AH144" s="27"/>
      <c r="AI144" s="27" t="str">
        <f>HYPERLINK("http://drinc.ca.gov/DNN/Portals/0/SelfCert/9da60b08-d317-46fd-a90b-6d8bcb27aec5.pdf","Legal")</f>
        <v>Legal</v>
      </c>
      <c r="AJ144" s="11"/>
      <c r="AK144" s="58" t="str">
        <f>HYPERLINK("http://drinc.ca.gov/DNN/Portals/0/SelfCert/36c702bc-e9f3-4712-98f1-865a3cfad4e9.pdf","Cert")</f>
        <v>Cert</v>
      </c>
      <c r="AL144" s="58" t="str">
        <f>HYPERLINK("http://drinc.ca.gov/DNN/Portals/0/SelfCert/30f18e6d-bd15-4b39-b542-e0a74029ff19.pdf","Analysis")</f>
        <v>Analysis</v>
      </c>
    </row>
    <row r="145" spans="1:38" s="19" customFormat="1" ht="14.4" customHeight="1" x14ac:dyDescent="0.3">
      <c r="A145" s="12" t="s">
        <v>681</v>
      </c>
      <c r="B145" s="68" t="s">
        <v>40</v>
      </c>
      <c r="C145" s="73">
        <v>28086</v>
      </c>
      <c r="D145" s="14">
        <v>5823.7</v>
      </c>
      <c r="E145" s="14">
        <v>26092</v>
      </c>
      <c r="F145" s="18">
        <v>0</v>
      </c>
      <c r="G145" s="68" t="s">
        <v>776</v>
      </c>
      <c r="H145" s="64">
        <v>0.2</v>
      </c>
      <c r="I145" s="64">
        <v>0.2</v>
      </c>
      <c r="J145" s="64">
        <v>0.42</v>
      </c>
      <c r="K145" s="71">
        <v>0.39090208172706242</v>
      </c>
      <c r="L145" s="65">
        <v>6479.1</v>
      </c>
      <c r="M145" s="65">
        <v>6479.1</v>
      </c>
      <c r="N145" s="13">
        <v>2111.1999999999998</v>
      </c>
      <c r="O145" s="13">
        <v>1684.1</v>
      </c>
      <c r="P145" s="30" t="s">
        <v>5</v>
      </c>
      <c r="Q145" s="13">
        <v>6479</v>
      </c>
      <c r="R145" s="13">
        <v>5168.3</v>
      </c>
      <c r="S145" s="23">
        <v>5823.7</v>
      </c>
      <c r="T145" s="41" t="s">
        <v>682</v>
      </c>
      <c r="U145" s="13">
        <v>23812</v>
      </c>
      <c r="V145" s="13">
        <v>20652</v>
      </c>
      <c r="W145" s="24">
        <v>26092</v>
      </c>
      <c r="X145" s="58" t="str">
        <f>HYPERLINK("http://www.drinc.ca.gov/DNN/Portals/0/SelfCert/22270117-fd39-4383-b273-c60d93b4da39.xlsx","WS1")</f>
        <v>WS1</v>
      </c>
      <c r="Y145" s="10" t="s">
        <v>683</v>
      </c>
      <c r="Z145" s="26" t="s">
        <v>13</v>
      </c>
      <c r="AA145" s="13">
        <v>-20268.3</v>
      </c>
      <c r="AB145" s="66">
        <v>0</v>
      </c>
      <c r="AC145" s="30" t="s">
        <v>18</v>
      </c>
      <c r="AD145" s="29" t="s">
        <v>684</v>
      </c>
      <c r="AE145" s="32"/>
      <c r="AF145" s="32"/>
      <c r="AG145" s="17"/>
      <c r="AH145" s="27"/>
      <c r="AI145" s="27"/>
      <c r="AJ145" s="11"/>
      <c r="AK145" s="58" t="str">
        <f>HYPERLINK("http://www.drinc.ca.gov/DNN/Portals/0/SelfCert/959d913d-b7a0-4693-a4ed-f5fafaf6967e.pdf","Cert")</f>
        <v>Cert</v>
      </c>
      <c r="AL145" s="58" t="str">
        <f>HYPERLINK("http://www.drinc.ca.gov/DNN/Portals/0/SelfCert/110452bf-be77-47f9-96f6-46bc99ad8a49.xlsx","Analysis")</f>
        <v>Analysis</v>
      </c>
    </row>
    <row r="146" spans="1:38" s="19" customFormat="1" ht="14.4" customHeight="1" x14ac:dyDescent="0.3">
      <c r="A146" s="12" t="s">
        <v>322</v>
      </c>
      <c r="B146" s="68" t="s">
        <v>40</v>
      </c>
      <c r="C146" s="73">
        <v>14050</v>
      </c>
      <c r="D146" s="14">
        <v>956.57092212151019</v>
      </c>
      <c r="E146" s="14">
        <v>957</v>
      </c>
      <c r="F146" s="18">
        <v>0</v>
      </c>
      <c r="G146" s="68" t="s">
        <v>804</v>
      </c>
      <c r="H146" s="64">
        <v>0.08</v>
      </c>
      <c r="I146" s="64">
        <v>0.08</v>
      </c>
      <c r="J146" s="64">
        <v>0.24</v>
      </c>
      <c r="K146" s="71">
        <v>0.22607665167389368</v>
      </c>
      <c r="L146" s="65">
        <v>1031.7</v>
      </c>
      <c r="M146" s="65">
        <v>1031.7</v>
      </c>
      <c r="N146" s="13">
        <v>331.2</v>
      </c>
      <c r="O146" s="13">
        <v>292.2</v>
      </c>
      <c r="P146" s="30" t="s">
        <v>4</v>
      </c>
      <c r="Q146" s="13">
        <v>331.2</v>
      </c>
      <c r="R146" s="13">
        <v>292.2</v>
      </c>
      <c r="S146" s="23">
        <v>311.7</v>
      </c>
      <c r="T146" s="41"/>
      <c r="U146" s="13">
        <v>311.7</v>
      </c>
      <c r="V146" s="13">
        <v>311.7</v>
      </c>
      <c r="W146" s="24">
        <v>311.7</v>
      </c>
      <c r="X146" s="58" t="str">
        <f>HYPERLINK("http://drinc.ca.gov/DNN/Portals/0/SelfCert/2c0ccdde-61c8-4ea1-a5ba-f13d82b8b930.xlsx","WS1")</f>
        <v>WS1</v>
      </c>
      <c r="Y146" s="10"/>
      <c r="Z146" s="26" t="s">
        <v>13</v>
      </c>
      <c r="AA146" s="13">
        <v>0</v>
      </c>
      <c r="AB146" s="15">
        <v>0</v>
      </c>
      <c r="AC146" s="30" t="s">
        <v>14</v>
      </c>
      <c r="AD146" s="29"/>
      <c r="AE146" s="32"/>
      <c r="AF146" s="32"/>
      <c r="AG146" s="17"/>
      <c r="AH146" s="27"/>
      <c r="AI146" s="27"/>
      <c r="AJ146" s="11"/>
      <c r="AK146" s="58" t="str">
        <f>HYPERLINK("http://drinc.ca.gov/DNN/Portals/0/SelfCert/f8463281-751c-45e9-b9e2-55a926b0a4c3.pdf","Cert")</f>
        <v>Cert</v>
      </c>
      <c r="AL146" s="58" t="str">
        <f>HYPERLINK("http://drinc.ca.gov/DNN/Portals/0/SelfCert/6aa16a37-a481-47e6-9d2c-789cea2eefe1.docx","Analysis")</f>
        <v>Analysis</v>
      </c>
    </row>
    <row r="147" spans="1:38" s="19" customFormat="1" ht="14.4" customHeight="1" x14ac:dyDescent="0.3">
      <c r="A147" s="12" t="s">
        <v>256</v>
      </c>
      <c r="B147" s="68" t="s">
        <v>50</v>
      </c>
      <c r="C147" s="73">
        <v>57248.166666666664</v>
      </c>
      <c r="D147" s="14">
        <v>11089.3</v>
      </c>
      <c r="E147" s="14">
        <v>13310</v>
      </c>
      <c r="F147" s="18">
        <v>0</v>
      </c>
      <c r="G147" s="68" t="s">
        <v>776</v>
      </c>
      <c r="H147" s="64">
        <v>0.24</v>
      </c>
      <c r="I147" s="64">
        <v>0.2</v>
      </c>
      <c r="J147" s="64">
        <v>0.32</v>
      </c>
      <c r="K147" s="71">
        <v>0.26263956064328908</v>
      </c>
      <c r="L147" s="65">
        <v>12191</v>
      </c>
      <c r="M147" s="65">
        <v>12191</v>
      </c>
      <c r="N147" s="13">
        <v>12195.5</v>
      </c>
      <c r="O147" s="13">
        <v>9983</v>
      </c>
      <c r="P147" s="30" t="s">
        <v>4</v>
      </c>
      <c r="Q147" s="13">
        <v>12195.5</v>
      </c>
      <c r="R147" s="13">
        <v>9983</v>
      </c>
      <c r="S147" s="23">
        <v>11089.3</v>
      </c>
      <c r="T147" s="41"/>
      <c r="U147" s="13">
        <v>15781</v>
      </c>
      <c r="V147" s="13">
        <v>11519</v>
      </c>
      <c r="W147" s="24">
        <v>13310</v>
      </c>
      <c r="X147" s="58" t="str">
        <f>HYPERLINK("http://drinc.ca.gov/DNN/Portals/0/SelfCert/f8554572-3050-47ad-9a44-1a9f764478f9.xlsx","WS1")</f>
        <v>WS1</v>
      </c>
      <c r="Y147" s="10"/>
      <c r="Z147" s="26" t="s">
        <v>13</v>
      </c>
      <c r="AA147" s="13">
        <v>-2220.6999999999998</v>
      </c>
      <c r="AB147" s="66">
        <v>0</v>
      </c>
      <c r="AC147" s="30" t="s">
        <v>14</v>
      </c>
      <c r="AD147" s="29" t="s">
        <v>257</v>
      </c>
      <c r="AE147" s="32"/>
      <c r="AF147" s="32"/>
      <c r="AG147" s="17"/>
      <c r="AH147" s="27"/>
      <c r="AI147" s="27"/>
      <c r="AJ147" s="11"/>
      <c r="AK147" s="58" t="str">
        <f>HYPERLINK("http://drinc.ca.gov/DNN/Portals/0/SelfCert/5bbb2d4b-d98c-40c6-bae9-1eb5ac2b9057.pdf","Cert")</f>
        <v>Cert</v>
      </c>
      <c r="AL147" s="58" t="str">
        <f>HYPERLINK("http://drinc.ca.gov/DNN/Portals/0/SelfCert/707ed1cc-b59b-496b-9d4f-ae1b81ba84f8.docx","Analysis")</f>
        <v>Analysis</v>
      </c>
    </row>
    <row r="148" spans="1:38" s="19" customFormat="1" ht="14.4" customHeight="1" x14ac:dyDescent="0.3">
      <c r="A148" s="12" t="s">
        <v>220</v>
      </c>
      <c r="B148" s="68" t="s">
        <v>40</v>
      </c>
      <c r="C148" s="73">
        <v>76249.666666666672</v>
      </c>
      <c r="D148" s="14">
        <v>11460.5</v>
      </c>
      <c r="E148" s="14">
        <v>11443</v>
      </c>
      <c r="F148" s="18">
        <v>0</v>
      </c>
      <c r="G148" s="68" t="s">
        <v>776</v>
      </c>
      <c r="H148" s="64">
        <v>0.16</v>
      </c>
      <c r="I148" s="64">
        <v>0.16</v>
      </c>
      <c r="J148" s="64">
        <v>0.32</v>
      </c>
      <c r="K148" s="71">
        <v>0.27029220779220775</v>
      </c>
      <c r="L148" s="65">
        <v>12275</v>
      </c>
      <c r="M148" s="65">
        <v>12275</v>
      </c>
      <c r="N148" s="13">
        <v>12275</v>
      </c>
      <c r="O148" s="13">
        <v>10646</v>
      </c>
      <c r="P148" s="30" t="s">
        <v>4</v>
      </c>
      <c r="Q148" s="13">
        <v>12275</v>
      </c>
      <c r="R148" s="13">
        <v>10646</v>
      </c>
      <c r="S148" s="23">
        <v>11460.5</v>
      </c>
      <c r="T148" s="41"/>
      <c r="U148" s="13">
        <v>11454</v>
      </c>
      <c r="V148" s="13">
        <v>11450</v>
      </c>
      <c r="W148" s="24">
        <v>11443</v>
      </c>
      <c r="X148" s="58" t="str">
        <f>HYPERLINK("http://drinc.ca.gov/DNN/Portals/0/SelfCert/07779709-b1a1-438f-8cae-b6af808fa97f.xlsx","WS1")</f>
        <v>WS1</v>
      </c>
      <c r="Y148" s="10"/>
      <c r="Z148" s="26" t="s">
        <v>13</v>
      </c>
      <c r="AA148" s="13">
        <v>17.5</v>
      </c>
      <c r="AB148" s="15">
        <v>0</v>
      </c>
      <c r="AC148" s="30" t="s">
        <v>18</v>
      </c>
      <c r="AD148" s="29" t="s">
        <v>221</v>
      </c>
      <c r="AE148" s="32"/>
      <c r="AF148" s="32"/>
      <c r="AG148" s="17"/>
      <c r="AH148" s="27"/>
      <c r="AI148" s="27"/>
      <c r="AJ148" s="11"/>
      <c r="AK148" s="58" t="str">
        <f>HYPERLINK("http://drinc.ca.gov/DNN/Portals/0/SelfCert/6b99bde8-29e9-4f1e-85bd-4a547ce8bbc1.pdf","Cert")</f>
        <v>Cert</v>
      </c>
      <c r="AL148" s="58" t="str">
        <f>HYPERLINK("http://drinc.ca.gov/DNN/Portals/0/SelfCert/9f1cceb5-b1a2-4712-bd8a-9317cd6e9ed5.docx","Analysis")</f>
        <v>Analysis</v>
      </c>
    </row>
    <row r="149" spans="1:38" s="19" customFormat="1" ht="14.4" customHeight="1" x14ac:dyDescent="0.3">
      <c r="A149" s="12" t="s">
        <v>390</v>
      </c>
      <c r="B149" s="68" t="s">
        <v>27</v>
      </c>
      <c r="C149" s="73">
        <v>108687.16666666667</v>
      </c>
      <c r="D149" s="14">
        <v>17753.5</v>
      </c>
      <c r="E149" s="14">
        <v>17754</v>
      </c>
      <c r="F149" s="18">
        <v>0</v>
      </c>
      <c r="G149" s="68" t="s">
        <v>776</v>
      </c>
      <c r="H149" s="64">
        <v>0.28000000000000003</v>
      </c>
      <c r="I149" s="64">
        <v>0.27</v>
      </c>
      <c r="J149" s="64">
        <v>0.31</v>
      </c>
      <c r="K149" s="71">
        <v>0.25966211835545383</v>
      </c>
      <c r="L149" s="65">
        <v>18921.599999999999</v>
      </c>
      <c r="M149" s="65">
        <v>18921.599999999999</v>
      </c>
      <c r="N149" s="13">
        <v>18922</v>
      </c>
      <c r="O149" s="13">
        <v>16585</v>
      </c>
      <c r="P149" s="30" t="s">
        <v>4</v>
      </c>
      <c r="Q149" s="13">
        <v>18922</v>
      </c>
      <c r="R149" s="13">
        <v>16585</v>
      </c>
      <c r="S149" s="23">
        <v>17753.5</v>
      </c>
      <c r="T149" s="41"/>
      <c r="U149" s="13">
        <v>21207</v>
      </c>
      <c r="V149" s="13">
        <v>16839</v>
      </c>
      <c r="W149" s="24">
        <v>17754</v>
      </c>
      <c r="X149" s="58" t="str">
        <f>HYPERLINK("http://drinc.ca.gov/DNN/Portals/0/SelfCert/adee438a-c04a-47ee-b506-ab33cda01a53.xlsx","WS1")</f>
        <v>WS1</v>
      </c>
      <c r="Y149" s="10"/>
      <c r="Z149" s="26" t="s">
        <v>13</v>
      </c>
      <c r="AA149" s="13">
        <v>-0.5</v>
      </c>
      <c r="AB149" s="15">
        <v>0</v>
      </c>
      <c r="AC149" s="30" t="s">
        <v>14</v>
      </c>
      <c r="AD149" s="29"/>
      <c r="AE149" s="32"/>
      <c r="AF149" s="32"/>
      <c r="AG149" s="17"/>
      <c r="AH149" s="27"/>
      <c r="AI149" s="27"/>
      <c r="AJ149" s="11"/>
      <c r="AK149" s="58" t="str">
        <f>HYPERLINK("http://drinc.ca.gov/DNN/Portals/0/SelfCert/a38ef249-6db8-4b16-9d2d-c8f20170d1e6.pdf","Cert")</f>
        <v>Cert</v>
      </c>
      <c r="AL149" s="58" t="str">
        <f>HYPERLINK("http://drinc.ca.gov/DNN/Portals/0/SelfCert/0470a41b-b6a4-4181-a697-1ce09c3014a4.xls","Analysis")</f>
        <v>Analysis</v>
      </c>
    </row>
    <row r="150" spans="1:38" s="19" customFormat="1" ht="14.4" customHeight="1" x14ac:dyDescent="0.3">
      <c r="A150" s="12" t="s">
        <v>727</v>
      </c>
      <c r="B150" s="68" t="s">
        <v>40</v>
      </c>
      <c r="C150" s="73">
        <v>37237.5</v>
      </c>
      <c r="D150" s="14">
        <v>4494.5</v>
      </c>
      <c r="E150" s="14">
        <v>4495</v>
      </c>
      <c r="F150" s="18">
        <v>0</v>
      </c>
      <c r="G150" s="68" t="s">
        <v>776</v>
      </c>
      <c r="H150" s="64">
        <v>0.12</v>
      </c>
      <c r="I150" s="64">
        <v>0.12</v>
      </c>
      <c r="J150" s="64">
        <v>0.14000000000000001</v>
      </c>
      <c r="K150" s="71">
        <v>0.16477399776393542</v>
      </c>
      <c r="L150" s="65">
        <v>4656.6000000000004</v>
      </c>
      <c r="M150" s="65">
        <v>4656.6000000000004</v>
      </c>
      <c r="N150" s="13">
        <v>1517.3</v>
      </c>
      <c r="O150" s="13">
        <v>1411.8</v>
      </c>
      <c r="P150" s="30" t="s">
        <v>5</v>
      </c>
      <c r="Q150" s="13">
        <v>4656.3999999999996</v>
      </c>
      <c r="R150" s="13">
        <v>4332.6000000000004</v>
      </c>
      <c r="S150" s="23">
        <v>4494.5</v>
      </c>
      <c r="T150" s="41" t="s">
        <v>728</v>
      </c>
      <c r="U150" s="13">
        <v>4495</v>
      </c>
      <c r="V150" s="13">
        <v>4495</v>
      </c>
      <c r="W150" s="24">
        <v>4495</v>
      </c>
      <c r="X150" s="58" t="str">
        <f>HYPERLINK("http://drinc.ca.gov/DNN/Portals/0/SelfCert/c93e046d-be95-42e0-be62-7a505da2271e.xlsx","WS1")</f>
        <v>WS1</v>
      </c>
      <c r="Y150" s="10" t="s">
        <v>729</v>
      </c>
      <c r="Z150" s="26" t="s">
        <v>13</v>
      </c>
      <c r="AA150" s="13">
        <v>-0.5</v>
      </c>
      <c r="AB150" s="15">
        <v>0</v>
      </c>
      <c r="AC150" s="30" t="s">
        <v>14</v>
      </c>
      <c r="AD150" s="29"/>
      <c r="AE150" s="32"/>
      <c r="AF150" s="32"/>
      <c r="AG150" s="17"/>
      <c r="AH150" s="27"/>
      <c r="AI150" s="27"/>
      <c r="AJ150" s="11"/>
      <c r="AK150" s="58" t="str">
        <f>HYPERLINK("http://drinc.ca.gov/DNN/Portals/0/SelfCert/d6ef5ae5-876e-48aa-995e-bab8e6c3f161.pdf","Cert")</f>
        <v>Cert</v>
      </c>
      <c r="AL150" s="58" t="str">
        <f>HYPERLINK("http://drinc.ca.gov/DNN/Portals/0/SelfCert/3f7b5458-36b8-4bd4-a637-2a507f16de0e.docx","Analysis")</f>
        <v>Analysis</v>
      </c>
    </row>
    <row r="151" spans="1:38" s="19" customFormat="1" ht="14.4" customHeight="1" x14ac:dyDescent="0.3">
      <c r="A151" s="12" t="s">
        <v>445</v>
      </c>
      <c r="B151" s="68" t="s">
        <v>16</v>
      </c>
      <c r="C151" s="73">
        <v>3247.909090909091</v>
      </c>
      <c r="D151" s="14">
        <v>1034.5</v>
      </c>
      <c r="E151" s="14">
        <v>1034</v>
      </c>
      <c r="F151" s="18">
        <v>0</v>
      </c>
      <c r="G151" s="68" t="s">
        <v>776</v>
      </c>
      <c r="H151" s="64">
        <v>0.36</v>
      </c>
      <c r="I151" s="64">
        <v>0.28999999999999998</v>
      </c>
      <c r="J151" s="64">
        <v>0.37</v>
      </c>
      <c r="K151" s="71">
        <v>0.34482758620689657</v>
      </c>
      <c r="L151" s="65">
        <v>938.7</v>
      </c>
      <c r="M151" s="65">
        <v>938.7</v>
      </c>
      <c r="N151" s="13">
        <v>1052</v>
      </c>
      <c r="O151" s="13">
        <v>1017</v>
      </c>
      <c r="P151" s="30" t="s">
        <v>4</v>
      </c>
      <c r="Q151" s="13">
        <v>1052</v>
      </c>
      <c r="R151" s="13">
        <v>1017</v>
      </c>
      <c r="S151" s="23">
        <v>1034.5</v>
      </c>
      <c r="T151" s="41"/>
      <c r="U151" s="13">
        <v>1034</v>
      </c>
      <c r="V151" s="13">
        <v>1034</v>
      </c>
      <c r="W151" s="24">
        <v>1034</v>
      </c>
      <c r="X151" s="58" t="str">
        <f>HYPERLINK("http://drinc.ca.gov/DNN/Portals/0/SelfCert/57b4cd82-749b-4b7f-9ac3-a10d4030c6f2.xlsx","WS1")</f>
        <v>WS1</v>
      </c>
      <c r="Y151" s="10"/>
      <c r="Z151" s="26" t="s">
        <v>13</v>
      </c>
      <c r="AA151" s="13">
        <v>0.5</v>
      </c>
      <c r="AB151" s="15">
        <v>0</v>
      </c>
      <c r="AC151" s="30" t="s">
        <v>18</v>
      </c>
      <c r="AD151" s="29" t="s">
        <v>446</v>
      </c>
      <c r="AE151" s="32"/>
      <c r="AF151" s="32"/>
      <c r="AG151" s="17"/>
      <c r="AH151" s="27"/>
      <c r="AI151" s="27"/>
      <c r="AJ151" s="11" t="s">
        <v>447</v>
      </c>
      <c r="AK151" s="58" t="str">
        <f>HYPERLINK("http://drinc.ca.gov/DNN/Portals/0/SelfCert/cc025694-9ed0-4f41-bd83-5042998f1471.pdf","Cert")</f>
        <v>Cert</v>
      </c>
      <c r="AL151" s="58" t="str">
        <f>HYPERLINK("http://drinc.ca.gov/DNN/Portals/0/SelfCert/5237c83d-79f3-4f25-b35b-79c08c2a0b01.docx","Analysis")</f>
        <v>Analysis</v>
      </c>
    </row>
    <row r="152" spans="1:38" s="19" customFormat="1" ht="14.4" customHeight="1" x14ac:dyDescent="0.3">
      <c r="A152" s="12" t="s">
        <v>709</v>
      </c>
      <c r="B152" s="68" t="s">
        <v>16</v>
      </c>
      <c r="C152" s="73">
        <v>12200</v>
      </c>
      <c r="D152" s="14">
        <v>2688</v>
      </c>
      <c r="E152" s="14">
        <v>2688</v>
      </c>
      <c r="F152" s="18">
        <v>0</v>
      </c>
      <c r="G152" s="68" t="s">
        <v>776</v>
      </c>
      <c r="H152" s="64">
        <v>0.32</v>
      </c>
      <c r="I152" s="64">
        <v>0.3</v>
      </c>
      <c r="J152" s="64">
        <v>0.35</v>
      </c>
      <c r="K152" s="71">
        <v>0.3459821428571429</v>
      </c>
      <c r="L152" s="65">
        <v>2765.2</v>
      </c>
      <c r="M152" s="65">
        <v>2765.2</v>
      </c>
      <c r="N152" s="13">
        <v>2765</v>
      </c>
      <c r="O152" s="13">
        <v>2611</v>
      </c>
      <c r="P152" s="30" t="s">
        <v>4</v>
      </c>
      <c r="Q152" s="13">
        <v>2765</v>
      </c>
      <c r="R152" s="13">
        <v>2611</v>
      </c>
      <c r="S152" s="23">
        <v>2688</v>
      </c>
      <c r="T152" s="41"/>
      <c r="U152" s="13">
        <v>2688</v>
      </c>
      <c r="V152" s="13">
        <v>2688</v>
      </c>
      <c r="W152" s="24">
        <v>2688</v>
      </c>
      <c r="X152" s="58" t="str">
        <f>HYPERLINK("http://www.drinc.ca.gov/DNN/Portals/0/SelfCert/4e1f68bb-3177-4fec-8a8f-551b8f8e2d7e.xlsx","WS1")</f>
        <v>WS1</v>
      </c>
      <c r="Y152" s="10"/>
      <c r="Z152" s="26" t="s">
        <v>13</v>
      </c>
      <c r="AA152" s="13">
        <v>0</v>
      </c>
      <c r="AB152" s="15">
        <v>0</v>
      </c>
      <c r="AC152" s="30" t="s">
        <v>18</v>
      </c>
      <c r="AD152" s="29" t="s">
        <v>710</v>
      </c>
      <c r="AE152" s="32"/>
      <c r="AF152" s="32"/>
      <c r="AG152" s="17"/>
      <c r="AH152" s="27"/>
      <c r="AI152" s="27" t="str">
        <f>HYPERLINK("http://www.drinc.ca.gov/DNN/Portals/0/SelfCert/cce44406-dd12-4d51-96d8-2958a7023d14.pdf","Legal")</f>
        <v>Legal</v>
      </c>
      <c r="AJ152" s="11" t="s">
        <v>711</v>
      </c>
      <c r="AK152" s="58" t="str">
        <f>HYPERLINK("http://www.drinc.ca.gov/DNN/Portals/0/SelfCert/0b83991a-bc97-47be-a2bf-79109a374447.pdf","Cert")</f>
        <v>Cert</v>
      </c>
      <c r="AL152" s="63" t="s">
        <v>793</v>
      </c>
    </row>
    <row r="153" spans="1:38" s="19" customFormat="1" ht="14.4" customHeight="1" x14ac:dyDescent="0.3">
      <c r="A153" s="12" t="s">
        <v>98</v>
      </c>
      <c r="B153" s="68" t="s">
        <v>16</v>
      </c>
      <c r="C153" s="73">
        <v>96068.25</v>
      </c>
      <c r="D153" s="14">
        <v>17239.5</v>
      </c>
      <c r="E153" s="14">
        <v>19680</v>
      </c>
      <c r="F153" s="18">
        <v>0</v>
      </c>
      <c r="G153" s="68" t="s">
        <v>830</v>
      </c>
      <c r="H153" s="64">
        <v>0.24</v>
      </c>
      <c r="I153" s="64">
        <v>0.16</v>
      </c>
      <c r="J153" s="64">
        <v>0.25</v>
      </c>
      <c r="K153" s="71">
        <v>0.22104938271604924</v>
      </c>
      <c r="L153" s="65">
        <v>17322.7</v>
      </c>
      <c r="M153" s="65">
        <v>15794.5</v>
      </c>
      <c r="N153" s="13">
        <v>17316</v>
      </c>
      <c r="O153" s="13">
        <v>17163</v>
      </c>
      <c r="P153" s="30" t="s">
        <v>4</v>
      </c>
      <c r="Q153" s="13">
        <v>17316</v>
      </c>
      <c r="R153" s="13">
        <v>17163</v>
      </c>
      <c r="S153" s="35">
        <v>17239.5</v>
      </c>
      <c r="T153" s="41"/>
      <c r="U153" s="13">
        <v>19604</v>
      </c>
      <c r="V153" s="13">
        <v>19494</v>
      </c>
      <c r="W153" s="24">
        <v>19680</v>
      </c>
      <c r="X153" s="58" t="str">
        <f>HYPERLINK("http://drinc.ca.gov/DNN/Portals/0/SelfCert/9d5d3c73-afe5-4fae-92c6-89624823737c.xlsx","WS1")</f>
        <v>WS1</v>
      </c>
      <c r="Y153" s="10" t="s">
        <v>99</v>
      </c>
      <c r="Z153" s="52" t="s">
        <v>31</v>
      </c>
      <c r="AA153" s="32">
        <v>-2440.5</v>
      </c>
      <c r="AB153" s="33">
        <v>0</v>
      </c>
      <c r="AC153" s="16" t="s">
        <v>14</v>
      </c>
      <c r="AD153" s="11"/>
      <c r="AE153" s="65"/>
      <c r="AF153" s="65"/>
      <c r="AG153" s="15">
        <v>0</v>
      </c>
      <c r="AH153" s="38" t="s">
        <v>777</v>
      </c>
      <c r="AI153" s="37" t="str">
        <f>HYPERLINK("http://drinc.ca.gov/DNN/Portals/0/SelfCert/dfd724de-f543-4896-8cc4-e778ead3f440.pdf","Legal")</f>
        <v>Legal</v>
      </c>
      <c r="AJ153" s="10"/>
      <c r="AK153" s="58" t="str">
        <f>HYPERLINK("http://drinc.ca.gov/DNN/Portals/0/SelfCert/a6db49e5-ccd2-4ab1-966e-b0f9c7af22e8.pdf","Cert")</f>
        <v>Cert</v>
      </c>
      <c r="AL153" s="58" t="str">
        <f>HYPERLINK("http://drinc.ca.gov/DNN/Portals/0/SelfCert/056f74b9-de84-4b7b-801c-eb0645df6749.docx","Analysis")</f>
        <v>Analysis</v>
      </c>
    </row>
    <row r="154" spans="1:38" s="19" customFormat="1" ht="14.4" customHeight="1" x14ac:dyDescent="0.3">
      <c r="A154" s="12" t="s">
        <v>43</v>
      </c>
      <c r="B154" s="68" t="s">
        <v>23</v>
      </c>
      <c r="C154" s="73">
        <v>88411</v>
      </c>
      <c r="D154" s="14">
        <v>21371.599999999999</v>
      </c>
      <c r="E154" s="14">
        <v>44805</v>
      </c>
      <c r="F154" s="18">
        <v>0</v>
      </c>
      <c r="G154" s="68" t="s">
        <v>776</v>
      </c>
      <c r="H154" s="64">
        <v>0.32</v>
      </c>
      <c r="I154" s="64">
        <v>0.27</v>
      </c>
      <c r="J154" s="64">
        <v>0.23</v>
      </c>
      <c r="K154" s="71">
        <v>0.26179563224588842</v>
      </c>
      <c r="L154" s="65">
        <v>21802</v>
      </c>
      <c r="M154" s="65">
        <v>21802</v>
      </c>
      <c r="N154" s="13">
        <v>21845.8</v>
      </c>
      <c r="O154" s="13">
        <v>20897.3</v>
      </c>
      <c r="P154" s="30" t="s">
        <v>4</v>
      </c>
      <c r="Q154" s="13">
        <v>21845.8</v>
      </c>
      <c r="R154" s="13">
        <v>20897.3</v>
      </c>
      <c r="S154" s="23">
        <v>21371.599999999999</v>
      </c>
      <c r="T154" s="41"/>
      <c r="U154" s="65">
        <v>44805</v>
      </c>
      <c r="V154" s="65">
        <v>44805</v>
      </c>
      <c r="W154" s="51">
        <v>44805</v>
      </c>
      <c r="X154" s="56" t="str">
        <f>HYPERLINK("http://drinc.ca.gov/DNN/Portals/0/SelfCert/ee089e8f-b674-4ebf-a74b-d9425e37f2e7.xlsx ","WS1")</f>
        <v>WS1</v>
      </c>
      <c r="Y154" s="10"/>
      <c r="Z154" s="26" t="s">
        <v>13</v>
      </c>
      <c r="AA154" s="13">
        <v>-23433.4</v>
      </c>
      <c r="AB154" s="66">
        <v>0</v>
      </c>
      <c r="AC154" s="30" t="s">
        <v>14</v>
      </c>
      <c r="AD154" s="29" t="s">
        <v>44</v>
      </c>
      <c r="AE154" s="32"/>
      <c r="AF154" s="32"/>
      <c r="AG154" s="17"/>
      <c r="AH154" s="27"/>
      <c r="AI154" s="27"/>
      <c r="AJ154" s="11"/>
      <c r="AK154" s="58" t="str">
        <f>HYPERLINK("http://drinc.ca.gov/DNN/Portals/0/SelfCert/e0e1c322-c2ab-4ec9-aa6e-7b50d159c0f6.pdf","Cert")</f>
        <v>Cert</v>
      </c>
      <c r="AL154" s="56" t="str">
        <f>HYPERLINK("http://drinc.ca.gov/DNN/Portals/0/SelfCert/013ca357-58cf-4541-9f35-ad533b2bd7bc.pdf","Analysis")</f>
        <v>Analysis</v>
      </c>
    </row>
    <row r="155" spans="1:38" s="19" customFormat="1" ht="14.4" customHeight="1" x14ac:dyDescent="0.3">
      <c r="A155" s="12" t="s">
        <v>308</v>
      </c>
      <c r="B155" s="68" t="s">
        <v>40</v>
      </c>
      <c r="C155" s="73">
        <v>147975.58333333334</v>
      </c>
      <c r="D155" s="14">
        <v>20290</v>
      </c>
      <c r="E155" s="14">
        <v>19243</v>
      </c>
      <c r="F155" s="18">
        <v>0.05</v>
      </c>
      <c r="G155" s="68" t="s">
        <v>776</v>
      </c>
      <c r="H155" s="64">
        <v>0.16</v>
      </c>
      <c r="I155" s="64">
        <v>0.16</v>
      </c>
      <c r="J155" s="64">
        <v>0.28999999999999998</v>
      </c>
      <c r="K155" s="71">
        <v>0.21557719054241997</v>
      </c>
      <c r="L155" s="65">
        <v>20792</v>
      </c>
      <c r="M155" s="65">
        <v>20792</v>
      </c>
      <c r="N155" s="13">
        <v>21571</v>
      </c>
      <c r="O155" s="13">
        <v>19009</v>
      </c>
      <c r="P155" s="30" t="s">
        <v>4</v>
      </c>
      <c r="Q155" s="13">
        <v>21571</v>
      </c>
      <c r="R155" s="13">
        <v>19009</v>
      </c>
      <c r="S155" s="34">
        <v>20290</v>
      </c>
      <c r="T155" s="41" t="s">
        <v>309</v>
      </c>
      <c r="U155" s="13">
        <v>19243</v>
      </c>
      <c r="V155" s="13">
        <v>19243</v>
      </c>
      <c r="W155" s="24">
        <v>19243</v>
      </c>
      <c r="X155" s="58" t="str">
        <f>HYPERLINK("http://drinc.ca.gov/DNN/Portals/0/SelfCert/f8171d0f-7e47-4803-9709-8c45622b4c5d.xlsx","WS1")</f>
        <v>WS1</v>
      </c>
      <c r="Y155" s="10"/>
      <c r="Z155" s="26" t="s">
        <v>13</v>
      </c>
      <c r="AA155" s="31">
        <v>1047</v>
      </c>
      <c r="AB155" s="15">
        <v>0.05</v>
      </c>
      <c r="AC155" s="30" t="s">
        <v>18</v>
      </c>
      <c r="AD155" s="29" t="s">
        <v>310</v>
      </c>
      <c r="AE155" s="32"/>
      <c r="AF155" s="32"/>
      <c r="AG155" s="17"/>
      <c r="AH155" s="36"/>
      <c r="AI155" s="36"/>
      <c r="AJ155" s="11"/>
      <c r="AK155" s="58" t="str">
        <f>HYPERLINK("http://drinc.ca.gov/DNN/Portals/0/SelfCert/6aa62988-e295-4c28-9f29-61c014a462ea.pdf","Cert")</f>
        <v>Cert</v>
      </c>
      <c r="AL155" s="58" t="str">
        <f>HYPERLINK("http://drinc.ca.gov/DNN/Portals/0/SelfCert/7c4fb534-27c7-4503-afe6-640f18eb7984.xls","Analysis")</f>
        <v>Analysis</v>
      </c>
    </row>
    <row r="156" spans="1:38" s="19" customFormat="1" ht="14.4" customHeight="1" x14ac:dyDescent="0.3">
      <c r="A156" s="12" t="s">
        <v>57</v>
      </c>
      <c r="B156" s="68" t="s">
        <v>58</v>
      </c>
      <c r="C156" s="73">
        <v>12014.333333333334</v>
      </c>
      <c r="D156" s="14">
        <v>1353.4</v>
      </c>
      <c r="E156" s="14">
        <v>1503</v>
      </c>
      <c r="F156" s="18">
        <v>0</v>
      </c>
      <c r="G156" s="68" t="s">
        <v>776</v>
      </c>
      <c r="H156" s="64">
        <v>0.24</v>
      </c>
      <c r="I156" s="64">
        <v>0.2</v>
      </c>
      <c r="J156" s="64">
        <v>0.16</v>
      </c>
      <c r="K156" s="72">
        <v>-7.756232686980602E-2</v>
      </c>
      <c r="L156" s="65">
        <v>1448.2</v>
      </c>
      <c r="M156" s="65">
        <v>1448.2</v>
      </c>
      <c r="N156" s="13">
        <v>449</v>
      </c>
      <c r="O156" s="13">
        <v>433</v>
      </c>
      <c r="P156" s="30" t="s">
        <v>5</v>
      </c>
      <c r="Q156" s="13">
        <v>1377.9</v>
      </c>
      <c r="R156" s="13">
        <v>1328.8</v>
      </c>
      <c r="S156" s="23">
        <v>1353.4</v>
      </c>
      <c r="T156" s="41"/>
      <c r="U156" s="13">
        <v>1503</v>
      </c>
      <c r="V156" s="13">
        <v>1503</v>
      </c>
      <c r="W156" s="24">
        <v>1503</v>
      </c>
      <c r="X156" s="58" t="str">
        <f>HYPERLINK("https://drinc.ca.gov/DNN/Portals/0/SelfCert/60277dee-6246-42d9-9c6f-dde92de198b8.xlsx","WS1")</f>
        <v>WS1</v>
      </c>
      <c r="Y156" s="10" t="s">
        <v>59</v>
      </c>
      <c r="Z156" s="26" t="s">
        <v>13</v>
      </c>
      <c r="AA156" s="13">
        <v>-149.6</v>
      </c>
      <c r="AB156" s="66">
        <v>0</v>
      </c>
      <c r="AC156" s="30" t="s">
        <v>14</v>
      </c>
      <c r="AD156" s="29"/>
      <c r="AE156" s="32"/>
      <c r="AF156" s="32"/>
      <c r="AG156" s="17"/>
      <c r="AH156" s="27"/>
      <c r="AI156" s="27"/>
      <c r="AJ156" s="11"/>
      <c r="AK156" s="58" t="str">
        <f>HYPERLINK("https://drinc.ca.gov/DNN/Portals/0/SelfCert/e48c98b8-1ff6-485a-8f7c-30819d3c69ec.pdf","Cert")</f>
        <v>Cert</v>
      </c>
      <c r="AL156" s="58" t="str">
        <f>HYPERLINK("https://drinc.ca.gov/DNN/Portals/0/SelfCert/59019def-c9c6-4f8b-803c-688f1d6f7e5b.xlsx","Analysis")</f>
        <v>Analysis</v>
      </c>
    </row>
    <row r="157" spans="1:38" s="19" customFormat="1" ht="14.4" customHeight="1" x14ac:dyDescent="0.3">
      <c r="A157" s="12" t="s">
        <v>689</v>
      </c>
      <c r="B157" s="68" t="s">
        <v>46</v>
      </c>
      <c r="C157" s="73">
        <v>108847.83333333333</v>
      </c>
      <c r="D157" s="14">
        <v>26096</v>
      </c>
      <c r="E157" s="14">
        <v>41207.5</v>
      </c>
      <c r="F157" s="18">
        <v>0</v>
      </c>
      <c r="G157" s="68" t="s">
        <v>776</v>
      </c>
      <c r="H157" s="64">
        <v>0.36</v>
      </c>
      <c r="I157" s="64">
        <v>0.33</v>
      </c>
      <c r="J157" s="64">
        <v>0.31</v>
      </c>
      <c r="K157" s="71">
        <v>0.24422396946465097</v>
      </c>
      <c r="L157" s="65">
        <v>27131.9</v>
      </c>
      <c r="M157" s="65">
        <v>27131.9</v>
      </c>
      <c r="N157" s="13">
        <v>27123</v>
      </c>
      <c r="O157" s="13">
        <v>25069</v>
      </c>
      <c r="P157" s="30" t="s">
        <v>4</v>
      </c>
      <c r="Q157" s="13">
        <v>27123</v>
      </c>
      <c r="R157" s="13">
        <v>25069</v>
      </c>
      <c r="S157" s="23">
        <v>26096</v>
      </c>
      <c r="T157" s="41"/>
      <c r="U157" s="13">
        <v>56734</v>
      </c>
      <c r="V157" s="13">
        <v>48592.9</v>
      </c>
      <c r="W157" s="24">
        <v>41207.5</v>
      </c>
      <c r="X157" s="58" t="str">
        <f>HYPERLINK("http://drinc.ca.gov/DNN/Portals/0/SelfCert/8b1597f7-a7a9-4a70-8598-8670770fe346.xlsx","WS1")</f>
        <v>WS1</v>
      </c>
      <c r="Y157" s="10" t="s">
        <v>690</v>
      </c>
      <c r="Z157" s="26" t="s">
        <v>13</v>
      </c>
      <c r="AA157" s="13">
        <v>-15111.5</v>
      </c>
      <c r="AB157" s="66">
        <v>0</v>
      </c>
      <c r="AC157" s="30" t="s">
        <v>14</v>
      </c>
      <c r="AD157" s="29"/>
      <c r="AE157" s="32"/>
      <c r="AF157" s="32"/>
      <c r="AG157" s="17"/>
      <c r="AH157" s="27"/>
      <c r="AI157" s="27"/>
      <c r="AJ157" s="11"/>
      <c r="AK157" s="58" t="str">
        <f>HYPERLINK("http://drinc.ca.gov/DNN/Portals/0/SelfCert/3a733ead-fe4d-4a26-b24b-78b84db0e937.pdf","Cert")</f>
        <v>Cert</v>
      </c>
      <c r="AL157" s="58" t="str">
        <f>HYPERLINK("http://drinc.ca.gov/DNN/Portals/0/SelfCert/4617dba5-6345-4511-8c1d-55803cdff36b.pdf","Analysis")</f>
        <v>Analysis</v>
      </c>
    </row>
    <row r="158" spans="1:38" s="19" customFormat="1" ht="14.4" customHeight="1" x14ac:dyDescent="0.3">
      <c r="A158" s="12" t="s">
        <v>623</v>
      </c>
      <c r="B158" s="68" t="s">
        <v>46</v>
      </c>
      <c r="C158" s="73">
        <v>31291</v>
      </c>
      <c r="D158" s="14">
        <v>9733.5</v>
      </c>
      <c r="E158" s="14">
        <v>13760</v>
      </c>
      <c r="F158" s="18">
        <v>0</v>
      </c>
      <c r="G158" s="68" t="s">
        <v>776</v>
      </c>
      <c r="H158" s="64">
        <v>0.36</v>
      </c>
      <c r="I158" s="64">
        <v>0.33</v>
      </c>
      <c r="J158" s="64">
        <v>0.28999999999999998</v>
      </c>
      <c r="K158" s="71">
        <v>0.22787979966611016</v>
      </c>
      <c r="L158" s="65">
        <v>10125</v>
      </c>
      <c r="M158" s="65">
        <v>10125</v>
      </c>
      <c r="N158" s="13">
        <v>10125</v>
      </c>
      <c r="O158" s="13">
        <v>9342</v>
      </c>
      <c r="P158" s="30" t="s">
        <v>4</v>
      </c>
      <c r="Q158" s="13">
        <v>10125</v>
      </c>
      <c r="R158" s="13">
        <v>9342</v>
      </c>
      <c r="S158" s="23">
        <v>9733.5</v>
      </c>
      <c r="T158" s="41" t="s">
        <v>624</v>
      </c>
      <c r="U158" s="13">
        <v>13760</v>
      </c>
      <c r="V158" s="13">
        <v>13760</v>
      </c>
      <c r="W158" s="24">
        <v>13760</v>
      </c>
      <c r="X158" s="58" t="str">
        <f>HYPERLINK("http://drinc.ca.gov/DNN/Portals/0/SelfCert/0958e7cd-9a01-4c4b-a9fd-22f211c10e77.xlsx","WS1")</f>
        <v>WS1</v>
      </c>
      <c r="Y158" s="10"/>
      <c r="Z158" s="26" t="s">
        <v>13</v>
      </c>
      <c r="AA158" s="13">
        <v>-4026.5</v>
      </c>
      <c r="AB158" s="66">
        <v>0</v>
      </c>
      <c r="AC158" s="30" t="s">
        <v>14</v>
      </c>
      <c r="AD158" s="29"/>
      <c r="AE158" s="32"/>
      <c r="AF158" s="32"/>
      <c r="AG158" s="17"/>
      <c r="AH158" s="27"/>
      <c r="AI158" s="27"/>
      <c r="AJ158" s="11"/>
      <c r="AK158" s="58" t="str">
        <f>HYPERLINK("http://drinc.ca.gov/DNN/Portals/0/SelfCert/297c90fc-5f01-49fc-8b03-7a3b68fc42d0.pdf","Cert")</f>
        <v>Cert</v>
      </c>
      <c r="AL158" s="58" t="str">
        <f>HYPERLINK("http://drinc.ca.gov/DNN/Portals/0/SelfCert/0a2eaf21-9435-4cb1-b70e-a15d24845f9a.xlsx","Analysis")</f>
        <v>Analysis</v>
      </c>
    </row>
    <row r="159" spans="1:38" s="19" customFormat="1" ht="14.4" customHeight="1" x14ac:dyDescent="0.3">
      <c r="A159" s="12" t="s">
        <v>347</v>
      </c>
      <c r="B159" s="68" t="s">
        <v>16</v>
      </c>
      <c r="C159" s="73">
        <v>23659.666666666668</v>
      </c>
      <c r="D159" s="45">
        <v>5555.6</v>
      </c>
      <c r="E159" s="45">
        <v>4965</v>
      </c>
      <c r="F159" s="48">
        <v>0.11</v>
      </c>
      <c r="G159" s="69" t="s">
        <v>831</v>
      </c>
      <c r="H159" s="64">
        <v>0.32</v>
      </c>
      <c r="I159" s="64">
        <v>0.3</v>
      </c>
      <c r="J159" s="64">
        <v>0.21</v>
      </c>
      <c r="K159" s="71">
        <v>0.1788532351394001</v>
      </c>
      <c r="L159" s="65">
        <v>5587.5</v>
      </c>
      <c r="M159" s="65">
        <v>5587.5</v>
      </c>
      <c r="N159" s="13">
        <v>5585.7</v>
      </c>
      <c r="O159" s="13">
        <v>5525.4</v>
      </c>
      <c r="P159" s="30" t="s">
        <v>4</v>
      </c>
      <c r="Q159" s="13">
        <v>5585.7</v>
      </c>
      <c r="R159" s="13">
        <v>5525.4</v>
      </c>
      <c r="S159" s="23">
        <v>5555.6</v>
      </c>
      <c r="T159" s="76"/>
      <c r="U159" s="45">
        <v>5006</v>
      </c>
      <c r="V159" s="45">
        <v>4965</v>
      </c>
      <c r="W159" s="61">
        <v>4965</v>
      </c>
      <c r="X159" s="38" t="str">
        <f>HYPERLINK("http://drinc.ca.gov/DNN/Portals/0/SelfCert/6ff46fb2-f177-43c0-a95c-088b91904881.xlsx","WS1")</f>
        <v>WS1</v>
      </c>
      <c r="Y159" s="76"/>
      <c r="Z159" s="81" t="s">
        <v>13</v>
      </c>
      <c r="AA159" s="45">
        <v>590.60000000000036</v>
      </c>
      <c r="AB159" s="75">
        <v>0.10630714954280372</v>
      </c>
      <c r="AC159" s="78" t="s">
        <v>18</v>
      </c>
      <c r="AD159" s="29" t="s">
        <v>348</v>
      </c>
      <c r="AE159" s="32"/>
      <c r="AF159" s="32"/>
      <c r="AG159" s="17"/>
      <c r="AH159" s="27"/>
      <c r="AI159" s="27"/>
      <c r="AJ159" s="11"/>
      <c r="AK159" s="58" t="str">
        <f>HYPERLINK("http://www.drinc.ca.gov/DNN/Portals/0/SelfCert/2e27d8ae-5687-4d31-8aa1-8e03e5383bab.pdf","Cert")</f>
        <v>Cert</v>
      </c>
      <c r="AL159" s="58" t="str">
        <f>HYPERLINK("http://www.drinc.ca.gov/DNN/Portals/0/SelfCert/3671e28a-4572-4713-87cb-c8b276f12b0f.xlsx","Analysis")</f>
        <v>Analysis</v>
      </c>
    </row>
    <row r="160" spans="1:38" s="19" customFormat="1" ht="14.4" customHeight="1" x14ac:dyDescent="0.3">
      <c r="A160" s="12" t="s">
        <v>239</v>
      </c>
      <c r="B160" s="68" t="s">
        <v>16</v>
      </c>
      <c r="C160" s="73">
        <v>546086.58333333337</v>
      </c>
      <c r="D160" s="14">
        <v>88969</v>
      </c>
      <c r="E160" s="14">
        <v>89508</v>
      </c>
      <c r="F160" s="18">
        <v>0</v>
      </c>
      <c r="G160" s="68" t="s">
        <v>776</v>
      </c>
      <c r="H160" s="64">
        <v>0.28000000000000003</v>
      </c>
      <c r="I160" s="64">
        <v>0.2</v>
      </c>
      <c r="J160" s="64">
        <v>0.2</v>
      </c>
      <c r="K160" s="71">
        <v>0.21485606219794073</v>
      </c>
      <c r="L160" s="65">
        <v>88855</v>
      </c>
      <c r="M160" s="65">
        <v>88855</v>
      </c>
      <c r="N160" s="13">
        <v>88855</v>
      </c>
      <c r="O160" s="13">
        <v>89083</v>
      </c>
      <c r="P160" s="30" t="s">
        <v>4</v>
      </c>
      <c r="Q160" s="13">
        <v>88855</v>
      </c>
      <c r="R160" s="13">
        <v>89083</v>
      </c>
      <c r="S160" s="23">
        <v>88969</v>
      </c>
      <c r="T160" s="41" t="s">
        <v>748</v>
      </c>
      <c r="U160" s="13">
        <v>89334</v>
      </c>
      <c r="V160" s="13">
        <v>89496</v>
      </c>
      <c r="W160" s="24">
        <v>89508</v>
      </c>
      <c r="X160" s="58" t="str">
        <f>HYPERLINK("http://drinc.ca.gov/DNN/Portals/0/SelfCert/661fe823-af3f-41b4-b77f-19e052b0b1a4.xlsx","WS1")</f>
        <v>WS1</v>
      </c>
      <c r="Y160" s="10" t="s">
        <v>749</v>
      </c>
      <c r="Z160" s="26" t="s">
        <v>13</v>
      </c>
      <c r="AA160" s="13">
        <v>-539</v>
      </c>
      <c r="AB160" s="66">
        <v>0</v>
      </c>
      <c r="AC160" s="30" t="s">
        <v>18</v>
      </c>
      <c r="AD160" s="29" t="s">
        <v>750</v>
      </c>
      <c r="AE160" s="32"/>
      <c r="AF160" s="32"/>
      <c r="AG160" s="17"/>
      <c r="AH160" s="27"/>
      <c r="AI160" s="27"/>
      <c r="AJ160" s="11"/>
      <c r="AK160" s="58" t="str">
        <f>HYPERLINK("http://drinc.ca.gov/DNN/Portals/0/SelfCert/e8dd2f87-bc4f-4709-827a-32478e90248c.pdf","Cert")</f>
        <v>Cert</v>
      </c>
      <c r="AL160" s="58" t="str">
        <f>HYPERLINK("http://drinc.ca.gov/DNN/Portals/0/SelfCert/de31dd9a-69b9-4142-87b5-a417b05d05a7.xlsx","Analysis")</f>
        <v>Analysis</v>
      </c>
    </row>
    <row r="161" spans="1:38" s="19" customFormat="1" ht="14.4" customHeight="1" x14ac:dyDescent="0.3">
      <c r="A161" s="12" t="s">
        <v>143</v>
      </c>
      <c r="B161" s="68" t="s">
        <v>40</v>
      </c>
      <c r="C161" s="73">
        <v>35375</v>
      </c>
      <c r="D161" s="14">
        <v>4735.8999999999996</v>
      </c>
      <c r="E161" s="14">
        <v>4736</v>
      </c>
      <c r="F161" s="18">
        <v>0</v>
      </c>
      <c r="G161" s="68" t="s">
        <v>776</v>
      </c>
      <c r="H161" s="64">
        <v>0.2</v>
      </c>
      <c r="I161" s="64">
        <v>0.2</v>
      </c>
      <c r="J161" s="64">
        <v>0.32</v>
      </c>
      <c r="K161" s="71">
        <v>0.22819174782921003</v>
      </c>
      <c r="L161" s="65">
        <v>3882.1</v>
      </c>
      <c r="M161" s="65">
        <v>3882.1</v>
      </c>
      <c r="N161" s="13">
        <v>1673.9</v>
      </c>
      <c r="O161" s="13">
        <v>1412.5</v>
      </c>
      <c r="P161" s="30" t="s">
        <v>5</v>
      </c>
      <c r="Q161" s="13">
        <v>5137</v>
      </c>
      <c r="R161" s="13">
        <v>4334.8</v>
      </c>
      <c r="S161" s="23">
        <v>4735.8999999999996</v>
      </c>
      <c r="T161" s="41"/>
      <c r="U161" s="13">
        <v>4736</v>
      </c>
      <c r="V161" s="13">
        <v>4736</v>
      </c>
      <c r="W161" s="24">
        <v>4736</v>
      </c>
      <c r="X161" s="58" t="str">
        <f>HYPERLINK("http://drinc.ca.gov/DNN/Portals/0/SelfCert/eecd59d0-c057-4153-a8c5-0466a66fa06a.xlsx","WS1")</f>
        <v>WS1</v>
      </c>
      <c r="Y161" s="10" t="s">
        <v>144</v>
      </c>
      <c r="Z161" s="26" t="s">
        <v>13</v>
      </c>
      <c r="AA161" s="13">
        <v>-0.1</v>
      </c>
      <c r="AB161" s="15">
        <v>0</v>
      </c>
      <c r="AC161" s="30" t="s">
        <v>14</v>
      </c>
      <c r="AD161" s="29"/>
      <c r="AE161" s="32"/>
      <c r="AF161" s="32"/>
      <c r="AG161" s="17"/>
      <c r="AH161" s="27"/>
      <c r="AI161" s="27" t="str">
        <f>HYPERLINK("http://drinc.ca.gov/DNN/Portals/0/SelfCert/8fe07bc3-a62b-47c2-a069-8667bb22a167.pdf","Legal")</f>
        <v>Legal</v>
      </c>
      <c r="AJ161" s="11"/>
      <c r="AK161" s="58" t="str">
        <f>HYPERLINK("http://drinc.ca.gov/DNN/Portals/0/SelfCert/80dbf538-36cc-49e0-b417-e677d7bd9c46.pdf","Cert")</f>
        <v>Cert</v>
      </c>
      <c r="AL161" s="58" t="str">
        <f>HYPERLINK("http://drinc.ca.gov/DNN/Portals/0/SelfCert/104c0510-5a02-439c-88d9-e15607cd2b1d.xlsx","Analysis")</f>
        <v>Analysis</v>
      </c>
    </row>
    <row r="162" spans="1:38" s="19" customFormat="1" ht="14.4" customHeight="1" x14ac:dyDescent="0.3">
      <c r="A162" s="12" t="s">
        <v>323</v>
      </c>
      <c r="B162" s="68" t="s">
        <v>16</v>
      </c>
      <c r="C162" s="73">
        <v>22968</v>
      </c>
      <c r="D162" s="14">
        <v>2267.3000000000002</v>
      </c>
      <c r="E162" s="14">
        <v>2494</v>
      </c>
      <c r="F162" s="18">
        <v>0</v>
      </c>
      <c r="G162" s="68" t="s">
        <v>776</v>
      </c>
      <c r="H162" s="64">
        <v>0.08</v>
      </c>
      <c r="I162" s="64">
        <v>0.08</v>
      </c>
      <c r="J162" s="64">
        <v>0.13</v>
      </c>
      <c r="K162" s="71">
        <v>6.6112827363557947E-2</v>
      </c>
      <c r="L162" s="65">
        <v>2316.3000000000002</v>
      </c>
      <c r="M162" s="65">
        <v>2316.3000000000002</v>
      </c>
      <c r="N162" s="13">
        <v>760.1</v>
      </c>
      <c r="O162" s="13">
        <v>717.5</v>
      </c>
      <c r="P162" s="30" t="s">
        <v>5</v>
      </c>
      <c r="Q162" s="13">
        <v>2332.6999999999998</v>
      </c>
      <c r="R162" s="13">
        <v>2201.9</v>
      </c>
      <c r="S162" s="23">
        <v>2267.3000000000002</v>
      </c>
      <c r="T162" s="41" t="s">
        <v>324</v>
      </c>
      <c r="U162" s="13">
        <v>2899</v>
      </c>
      <c r="V162" s="13">
        <v>2675</v>
      </c>
      <c r="W162" s="24">
        <v>2494</v>
      </c>
      <c r="X162" s="58" t="str">
        <f>HYPERLINK("http://drinc.ca.gov/DNN/Portals/0/SelfCert/3edcdb07-dcf4-4e72-b78d-f637c6700582.xlsx","WS1")</f>
        <v>WS1</v>
      </c>
      <c r="Y162" s="10" t="s">
        <v>325</v>
      </c>
      <c r="Z162" s="26" t="s">
        <v>13</v>
      </c>
      <c r="AA162" s="13">
        <v>-226.7</v>
      </c>
      <c r="AB162" s="66">
        <v>0</v>
      </c>
      <c r="AC162" s="30" t="s">
        <v>18</v>
      </c>
      <c r="AD162" s="29" t="s">
        <v>326</v>
      </c>
      <c r="AE162" s="32"/>
      <c r="AF162" s="32"/>
      <c r="AG162" s="17"/>
      <c r="AH162" s="27"/>
      <c r="AI162" s="27"/>
      <c r="AJ162" s="11"/>
      <c r="AK162" s="58" t="str">
        <f>HYPERLINK("http://drinc.ca.gov/DNN/Portals/0/SelfCert/b8bbe7f1-0d43-44ea-832d-b66b26770d29.pdf","Cert")</f>
        <v>Cert</v>
      </c>
      <c r="AL162" s="58" t="str">
        <f>HYPERLINK("http://drinc.ca.gov/DNN/Portals/0/SelfCert/72e6ac59-645a-4c63-b58d-98b7d2bfc399.docx","Analysis")</f>
        <v>Analysis</v>
      </c>
    </row>
    <row r="163" spans="1:38" s="19" customFormat="1" ht="14.4" customHeight="1" x14ac:dyDescent="0.3">
      <c r="A163" s="12" t="s">
        <v>575</v>
      </c>
      <c r="B163" s="68" t="s">
        <v>50</v>
      </c>
      <c r="C163" s="73">
        <v>89588.166666666672</v>
      </c>
      <c r="D163" s="14">
        <v>17192.5</v>
      </c>
      <c r="E163" s="14">
        <v>39745</v>
      </c>
      <c r="F163" s="18">
        <v>0</v>
      </c>
      <c r="G163" s="68" t="s">
        <v>776</v>
      </c>
      <c r="H163" s="64">
        <v>0.32</v>
      </c>
      <c r="I163" s="64">
        <v>0.25</v>
      </c>
      <c r="J163" s="64">
        <v>0.23</v>
      </c>
      <c r="K163" s="71">
        <v>0.27410926365795729</v>
      </c>
      <c r="L163" s="65">
        <v>17613</v>
      </c>
      <c r="M163" s="65">
        <v>17613</v>
      </c>
      <c r="N163" s="13">
        <v>18586</v>
      </c>
      <c r="O163" s="13">
        <v>15799</v>
      </c>
      <c r="P163" s="30" t="s">
        <v>4</v>
      </c>
      <c r="Q163" s="13">
        <v>18586</v>
      </c>
      <c r="R163" s="13">
        <v>15799</v>
      </c>
      <c r="S163" s="23">
        <v>17192.5</v>
      </c>
      <c r="T163" s="41"/>
      <c r="U163" s="13">
        <v>42463</v>
      </c>
      <c r="V163" s="13">
        <v>40106</v>
      </c>
      <c r="W163" s="24">
        <v>39745</v>
      </c>
      <c r="X163" s="58" t="str">
        <f>HYPERLINK("http://drinc.ca.gov/DNN/Portals/0/SelfCert/a3a34b0c-eae8-4066-8079-825ed0c323c2.xlsx","WS1")</f>
        <v>WS1</v>
      </c>
      <c r="Y163" s="10"/>
      <c r="Z163" s="26" t="s">
        <v>13</v>
      </c>
      <c r="AA163" s="13">
        <v>-22552.5</v>
      </c>
      <c r="AB163" s="66">
        <v>0</v>
      </c>
      <c r="AC163" s="30" t="s">
        <v>18</v>
      </c>
      <c r="AD163" s="29" t="s">
        <v>576</v>
      </c>
      <c r="AE163" s="32"/>
      <c r="AF163" s="32"/>
      <c r="AG163" s="17"/>
      <c r="AH163" s="27"/>
      <c r="AI163" s="27"/>
      <c r="AJ163" s="11"/>
      <c r="AK163" s="58" t="str">
        <f>HYPERLINK("http://drinc.ca.gov/DNN/Portals/0/SelfCert/d67554df-b680-4f3d-a753-cfd9cd878966.pdf","Cert")</f>
        <v>Cert</v>
      </c>
      <c r="AL163" s="58" t="str">
        <f>HYPERLINK("http://drinc.ca.gov/DNN/Portals/0/SelfCert/9a36f51c-109e-4bef-aae4-8725c8cc0f53.xlsx","Analysis")</f>
        <v>Analysis</v>
      </c>
    </row>
    <row r="164" spans="1:38" s="19" customFormat="1" ht="14.4" customHeight="1" x14ac:dyDescent="0.3">
      <c r="A164" s="12" t="s">
        <v>301</v>
      </c>
      <c r="B164" s="68" t="s">
        <v>40</v>
      </c>
      <c r="C164" s="73">
        <v>66303.416666666672</v>
      </c>
      <c r="D164" s="14">
        <v>9570</v>
      </c>
      <c r="E164" s="14">
        <v>9574</v>
      </c>
      <c r="F164" s="18">
        <v>0</v>
      </c>
      <c r="G164" s="68" t="s">
        <v>776</v>
      </c>
      <c r="H164" s="64">
        <v>0.2</v>
      </c>
      <c r="I164" s="64">
        <v>0.19</v>
      </c>
      <c r="J164" s="64">
        <v>0.2</v>
      </c>
      <c r="K164" s="71">
        <v>0.20327988542865971</v>
      </c>
      <c r="L164" s="65">
        <v>10124.799999999999</v>
      </c>
      <c r="M164" s="65">
        <v>10124.799999999999</v>
      </c>
      <c r="N164" s="13">
        <v>10125</v>
      </c>
      <c r="O164" s="13">
        <v>9015</v>
      </c>
      <c r="P164" s="30" t="s">
        <v>4</v>
      </c>
      <c r="Q164" s="13">
        <v>10125</v>
      </c>
      <c r="R164" s="13">
        <v>9015</v>
      </c>
      <c r="S164" s="23">
        <v>9570</v>
      </c>
      <c r="T164" s="41"/>
      <c r="U164" s="13">
        <v>9574</v>
      </c>
      <c r="V164" s="13">
        <v>9574</v>
      </c>
      <c r="W164" s="24">
        <v>9574</v>
      </c>
      <c r="X164" s="58" t="str">
        <f>HYPERLINK("http://drinc.ca.gov/DNN/Portals/0/SelfCert/1e3a5d58-9d10-4234-92d5-82b2af42e546.xlsx","WS1")</f>
        <v>WS1</v>
      </c>
      <c r="Y164" s="10"/>
      <c r="Z164" s="26" t="s">
        <v>13</v>
      </c>
      <c r="AA164" s="13">
        <v>-4</v>
      </c>
      <c r="AB164" s="15">
        <v>0</v>
      </c>
      <c r="AC164" s="30" t="s">
        <v>14</v>
      </c>
      <c r="AD164" s="29" t="s">
        <v>302</v>
      </c>
      <c r="AE164" s="32"/>
      <c r="AF164" s="32"/>
      <c r="AG164" s="17"/>
      <c r="AH164" s="27"/>
      <c r="AI164" s="27"/>
      <c r="AJ164" s="11"/>
      <c r="AK164" s="58" t="str">
        <f>HYPERLINK("http://drinc.ca.gov/DNN/Portals/0/SelfCert/0ddaeb06-46b3-49a1-a286-d0822e9ed168.pdf","Cert")</f>
        <v>Cert</v>
      </c>
      <c r="AL164" s="58" t="str">
        <f>HYPERLINK("http://drinc.ca.gov/DNN/Portals/0/SelfCert/1727b096-5adb-4fab-a317-aaf4e595e53c.xls","Analysis")</f>
        <v>Analysis</v>
      </c>
    </row>
    <row r="165" spans="1:38" s="19" customFormat="1" ht="14.4" customHeight="1" x14ac:dyDescent="0.3">
      <c r="A165" s="12" t="s">
        <v>233</v>
      </c>
      <c r="B165" s="68" t="s">
        <v>40</v>
      </c>
      <c r="C165" s="73">
        <v>44103.5</v>
      </c>
      <c r="D165" s="14">
        <v>3909.8</v>
      </c>
      <c r="E165" s="14">
        <v>4415</v>
      </c>
      <c r="F165" s="18">
        <v>0</v>
      </c>
      <c r="G165" s="68" t="s">
        <v>776</v>
      </c>
      <c r="H165" s="64">
        <v>0.08</v>
      </c>
      <c r="I165" s="64">
        <v>0.08</v>
      </c>
      <c r="J165" s="64">
        <v>0.24</v>
      </c>
      <c r="K165" s="71">
        <v>0.23926475896579302</v>
      </c>
      <c r="L165" s="65">
        <v>3770.9</v>
      </c>
      <c r="M165" s="65">
        <v>3770.9</v>
      </c>
      <c r="N165" s="13">
        <v>1341</v>
      </c>
      <c r="O165" s="13">
        <v>1207</v>
      </c>
      <c r="P165" s="30" t="s">
        <v>5</v>
      </c>
      <c r="Q165" s="13">
        <v>4115.3999999999996</v>
      </c>
      <c r="R165" s="13">
        <v>3704.1</v>
      </c>
      <c r="S165" s="23">
        <v>3909.8</v>
      </c>
      <c r="T165" s="41"/>
      <c r="U165" s="13">
        <v>4415</v>
      </c>
      <c r="V165" s="13">
        <v>4415</v>
      </c>
      <c r="W165" s="24">
        <v>4415</v>
      </c>
      <c r="X165" s="58" t="str">
        <f>HYPERLINK("http://drinc.ca.gov/DNN/Portals/0/SelfCert/9646825b-792b-4879-a15f-952395f1b20b.xlsx","WS1")</f>
        <v>WS1</v>
      </c>
      <c r="Y165" s="10"/>
      <c r="Z165" s="26" t="s">
        <v>13</v>
      </c>
      <c r="AA165" s="13">
        <v>-505.2</v>
      </c>
      <c r="AB165" s="66">
        <v>0</v>
      </c>
      <c r="AC165" s="30" t="s">
        <v>14</v>
      </c>
      <c r="AD165" s="29"/>
      <c r="AE165" s="32"/>
      <c r="AF165" s="32"/>
      <c r="AG165" s="17"/>
      <c r="AH165" s="27"/>
      <c r="AI165" s="27"/>
      <c r="AJ165" s="11"/>
      <c r="AK165" s="58" t="str">
        <f>HYPERLINK("http://drinc.ca.gov/DNN/Portals/0/SelfCert/928078d4-38f1-4845-bdd7-9f9deeb88d2a.pdf","Cert")</f>
        <v>Cert</v>
      </c>
      <c r="AL165" s="58" t="str">
        <f>HYPERLINK("http://drinc.ca.gov/DNN/Portals/0/SelfCert/ffc631bc-89b2-4963-83b5-00aefef7c02d.docx","Analysis")</f>
        <v>Analysis</v>
      </c>
    </row>
    <row r="166" spans="1:38" s="19" customFormat="1" ht="14.4" customHeight="1" x14ac:dyDescent="0.3">
      <c r="A166" s="12" t="s">
        <v>536</v>
      </c>
      <c r="B166" s="68" t="s">
        <v>40</v>
      </c>
      <c r="C166" s="73">
        <v>20099.583333333332</v>
      </c>
      <c r="D166" s="14">
        <v>3435</v>
      </c>
      <c r="E166" s="14">
        <v>3779</v>
      </c>
      <c r="F166" s="18">
        <v>0</v>
      </c>
      <c r="G166" s="68" t="s">
        <v>776</v>
      </c>
      <c r="H166" s="64">
        <v>0.2</v>
      </c>
      <c r="I166" s="64">
        <v>0.16</v>
      </c>
      <c r="J166" s="64">
        <v>0.27</v>
      </c>
      <c r="K166" s="71">
        <v>0.27225130890052363</v>
      </c>
      <c r="L166" s="65">
        <v>3692</v>
      </c>
      <c r="M166" s="65">
        <v>3692</v>
      </c>
      <c r="N166" s="13">
        <v>3692</v>
      </c>
      <c r="O166" s="13">
        <v>3178</v>
      </c>
      <c r="P166" s="30" t="s">
        <v>4</v>
      </c>
      <c r="Q166" s="13">
        <v>3692</v>
      </c>
      <c r="R166" s="13">
        <v>3178</v>
      </c>
      <c r="S166" s="23">
        <v>3435</v>
      </c>
      <c r="T166" s="41"/>
      <c r="U166" s="13">
        <v>6147</v>
      </c>
      <c r="V166" s="13">
        <v>3678</v>
      </c>
      <c r="W166" s="24">
        <v>3779</v>
      </c>
      <c r="X166" s="58" t="str">
        <f>HYPERLINK("http://drinc.ca.gov/DNN/Portals/0/SelfCert/31597c58-a1f2-4b9e-843f-d44b0da7012c.xlsx","WS1")</f>
        <v>WS1</v>
      </c>
      <c r="Y166" s="10" t="s">
        <v>537</v>
      </c>
      <c r="Z166" s="26" t="s">
        <v>13</v>
      </c>
      <c r="AA166" s="13">
        <v>-344</v>
      </c>
      <c r="AB166" s="66">
        <v>0</v>
      </c>
      <c r="AC166" s="30" t="s">
        <v>18</v>
      </c>
      <c r="AD166" s="29" t="s">
        <v>538</v>
      </c>
      <c r="AE166" s="32"/>
      <c r="AF166" s="32"/>
      <c r="AG166" s="17"/>
      <c r="AH166" s="27"/>
      <c r="AI166" s="27"/>
      <c r="AJ166" s="11"/>
      <c r="AK166" s="58" t="str">
        <f>HYPERLINK("http://drinc.ca.gov/DNN/Portals/0/SelfCert/c9931f96-4164-4efd-b493-f6b80ec622c3.pdf","Cert")</f>
        <v>Cert</v>
      </c>
      <c r="AL166" s="58" t="str">
        <f>HYPERLINK("http://drinc.ca.gov/DNN/Portals/0/SelfCert/7898e177-f0b8-45c3-92f2-f06ae6c1ed7c.xlsx","Analysis")</f>
        <v>Analysis</v>
      </c>
    </row>
    <row r="167" spans="1:38" s="19" customFormat="1" ht="14.4" customHeight="1" x14ac:dyDescent="0.3">
      <c r="A167" s="12" t="s">
        <v>574</v>
      </c>
      <c r="B167" s="68" t="s">
        <v>46</v>
      </c>
      <c r="C167" s="73">
        <v>33405.5</v>
      </c>
      <c r="D167" s="14">
        <v>9998.5</v>
      </c>
      <c r="E167" s="14">
        <v>19242</v>
      </c>
      <c r="F167" s="18">
        <v>0</v>
      </c>
      <c r="G167" s="68" t="s">
        <v>776</v>
      </c>
      <c r="H167" s="64">
        <v>0.36</v>
      </c>
      <c r="I167" s="64">
        <v>0.31</v>
      </c>
      <c r="J167" s="64">
        <v>0.28999999999999998</v>
      </c>
      <c r="K167" s="71">
        <v>0.20710571923743493</v>
      </c>
      <c r="L167" s="65">
        <v>10453</v>
      </c>
      <c r="M167" s="65">
        <v>10453</v>
      </c>
      <c r="N167" s="13">
        <v>9847</v>
      </c>
      <c r="O167" s="13">
        <v>10150</v>
      </c>
      <c r="P167" s="30" t="s">
        <v>4</v>
      </c>
      <c r="Q167" s="13">
        <v>9847</v>
      </c>
      <c r="R167" s="13">
        <v>10150</v>
      </c>
      <c r="S167" s="23">
        <v>9998.5</v>
      </c>
      <c r="T167" s="41"/>
      <c r="U167" s="13">
        <v>19042</v>
      </c>
      <c r="V167" s="13">
        <v>19142</v>
      </c>
      <c r="W167" s="24">
        <v>19242</v>
      </c>
      <c r="X167" s="58" t="str">
        <f>HYPERLINK("https://drinc.ca.gov/DNN/Portals/0/SelfCert/0f9f1268-5db1-477d-a440-39f8a6778171.xlsx","WS1")</f>
        <v>WS1</v>
      </c>
      <c r="Y167" s="10"/>
      <c r="Z167" s="26" t="s">
        <v>13</v>
      </c>
      <c r="AA167" s="13">
        <v>-9243.5</v>
      </c>
      <c r="AB167" s="66">
        <v>0</v>
      </c>
      <c r="AC167" s="30" t="s">
        <v>14</v>
      </c>
      <c r="AD167" s="29"/>
      <c r="AE167" s="32"/>
      <c r="AF167" s="32"/>
      <c r="AG167" s="17"/>
      <c r="AH167" s="27"/>
      <c r="AI167" s="27"/>
      <c r="AJ167" s="11"/>
      <c r="AK167" s="58" t="str">
        <f>HYPERLINK("https://drinc.ca.gov/DNN/Portals/0/SelfCert/6514237c-ea58-4e31-b990-02e28e03d5fc.pdf","Cert")</f>
        <v>Cert</v>
      </c>
      <c r="AL167" s="58" t="str">
        <f>HYPERLINK("https://drinc.ca.gov/DNN/Portals/0/SelfCert/613cf7ff-5c6e-4492-a2c4-6a7ad9e07191.docx","Analysis")</f>
        <v>Analysis</v>
      </c>
    </row>
    <row r="168" spans="1:38" s="19" customFormat="1" ht="14.4" customHeight="1" x14ac:dyDescent="0.3">
      <c r="A168" s="12" t="s">
        <v>147</v>
      </c>
      <c r="B168" s="68" t="s">
        <v>40</v>
      </c>
      <c r="C168" s="73">
        <v>27449.25</v>
      </c>
      <c r="D168" s="14">
        <v>5898</v>
      </c>
      <c r="E168" s="14">
        <v>5898</v>
      </c>
      <c r="F168" s="18">
        <v>0</v>
      </c>
      <c r="G168" s="68" t="s">
        <v>776</v>
      </c>
      <c r="H168" s="64">
        <v>0.2</v>
      </c>
      <c r="I168" s="64">
        <v>0.17</v>
      </c>
      <c r="J168" s="64">
        <v>0.35</v>
      </c>
      <c r="K168" s="71">
        <v>0.246973092817106</v>
      </c>
      <c r="L168" s="65">
        <v>6730.3</v>
      </c>
      <c r="M168" s="65">
        <v>6730.3</v>
      </c>
      <c r="N168" s="13">
        <v>6732</v>
      </c>
      <c r="O168" s="13">
        <v>5064</v>
      </c>
      <c r="P168" s="30" t="s">
        <v>4</v>
      </c>
      <c r="Q168" s="13">
        <v>6732</v>
      </c>
      <c r="R168" s="13">
        <v>5064</v>
      </c>
      <c r="S168" s="23">
        <v>5898</v>
      </c>
      <c r="T168" s="41" t="s">
        <v>148</v>
      </c>
      <c r="U168" s="13">
        <v>5898</v>
      </c>
      <c r="V168" s="13">
        <v>5898</v>
      </c>
      <c r="W168" s="24">
        <v>5898</v>
      </c>
      <c r="X168" s="58" t="str">
        <f>HYPERLINK("http://drinc.ca.gov/DNN/Portals/0/SelfCert/73b37b18-5cf8-4341-aa0e-a50d30700f6e.xlsx","WS1")</f>
        <v>WS1</v>
      </c>
      <c r="Y168" s="10" t="s">
        <v>149</v>
      </c>
      <c r="Z168" s="26" t="s">
        <v>13</v>
      </c>
      <c r="AA168" s="13">
        <v>0</v>
      </c>
      <c r="AB168" s="15">
        <v>0</v>
      </c>
      <c r="AC168" s="30" t="s">
        <v>18</v>
      </c>
      <c r="AD168" s="29" t="s">
        <v>150</v>
      </c>
      <c r="AE168" s="32"/>
      <c r="AF168" s="32"/>
      <c r="AG168" s="17"/>
      <c r="AH168" s="27"/>
      <c r="AI168" s="27"/>
      <c r="AJ168" s="11"/>
      <c r="AK168" s="58" t="str">
        <f>HYPERLINK("http://drinc.ca.gov/DNN/Portals/0/SelfCert/d4d5756e-e6a7-4ace-885e-2c6b65bac244.pdf","Cert")</f>
        <v>Cert</v>
      </c>
      <c r="AL168" s="58" t="str">
        <f>HYPERLINK("http://drinc.ca.gov/DNN/Portals/0/SelfCert/c4220456-49be-42c1-9bcd-6a663952ae3b.docx","Analysis")</f>
        <v>Analysis</v>
      </c>
    </row>
    <row r="169" spans="1:38" s="19" customFormat="1" ht="14.4" customHeight="1" x14ac:dyDescent="0.3">
      <c r="A169" s="12" t="s">
        <v>679</v>
      </c>
      <c r="B169" s="68" t="s">
        <v>38</v>
      </c>
      <c r="C169" s="73">
        <v>53806.916666666664</v>
      </c>
      <c r="D169" s="14">
        <v>8766</v>
      </c>
      <c r="E169" s="14">
        <v>12127</v>
      </c>
      <c r="F169" s="18">
        <v>0</v>
      </c>
      <c r="G169" s="68" t="s">
        <v>776</v>
      </c>
      <c r="H169" s="64">
        <v>0.24</v>
      </c>
      <c r="I169" s="64">
        <v>0.24</v>
      </c>
      <c r="J169" s="64">
        <v>0.28000000000000003</v>
      </c>
      <c r="K169" s="71">
        <v>0.28022650749923472</v>
      </c>
      <c r="L169" s="65">
        <v>9145.1</v>
      </c>
      <c r="M169" s="65">
        <v>9145.1</v>
      </c>
      <c r="N169" s="13">
        <v>3038.2</v>
      </c>
      <c r="O169" s="13">
        <v>2674.6</v>
      </c>
      <c r="P169" s="30" t="s">
        <v>5</v>
      </c>
      <c r="Q169" s="13">
        <v>9323.7000000000007</v>
      </c>
      <c r="R169" s="13">
        <v>8208.2000000000007</v>
      </c>
      <c r="S169" s="23">
        <v>8766</v>
      </c>
      <c r="T169" s="41"/>
      <c r="U169" s="13">
        <v>16458.8</v>
      </c>
      <c r="V169" s="13">
        <v>14726</v>
      </c>
      <c r="W169" s="24">
        <v>12127</v>
      </c>
      <c r="X169" s="58" t="str">
        <f>HYPERLINK("http://drinc.ca.gov/DNN/Portals/0/SelfCert/88c85b18-68aa-448c-91be-32951a7b91c8.xlsx","WS1")</f>
        <v>WS1</v>
      </c>
      <c r="Y169" s="10"/>
      <c r="Z169" s="26" t="s">
        <v>13</v>
      </c>
      <c r="AA169" s="13">
        <v>-3361</v>
      </c>
      <c r="AB169" s="66">
        <v>0</v>
      </c>
      <c r="AC169" s="30" t="s">
        <v>14</v>
      </c>
      <c r="AD169" s="29" t="s">
        <v>680</v>
      </c>
      <c r="AE169" s="32"/>
      <c r="AF169" s="32"/>
      <c r="AG169" s="17"/>
      <c r="AH169" s="27"/>
      <c r="AI169" s="27"/>
      <c r="AJ169" s="11"/>
      <c r="AK169" s="58" t="str">
        <f>HYPERLINK("http://drinc.ca.gov/DNN/Portals/0/SelfCert/37d14288-ff8b-46cf-83e8-90d270812dc2.pdf","Cert")</f>
        <v>Cert</v>
      </c>
      <c r="AL169" s="58" t="str">
        <f>HYPERLINK("http://drinc.ca.gov/DNN/Portals/0/SelfCert/b8d9f885-dc60-470a-8c7f-61f2fcf41119.pdf","Analysis")</f>
        <v>Analysis</v>
      </c>
    </row>
    <row r="170" spans="1:38" s="19" customFormat="1" ht="14.4" customHeight="1" x14ac:dyDescent="0.3">
      <c r="A170" s="12" t="s">
        <v>589</v>
      </c>
      <c r="B170" s="68" t="s">
        <v>16</v>
      </c>
      <c r="C170" s="73">
        <v>32025.333333333332</v>
      </c>
      <c r="D170" s="14">
        <v>4555</v>
      </c>
      <c r="E170" s="14">
        <v>5085.1000000000004</v>
      </c>
      <c r="F170" s="18">
        <v>0</v>
      </c>
      <c r="G170" s="68" t="s">
        <v>776</v>
      </c>
      <c r="H170" s="64">
        <v>0.2</v>
      </c>
      <c r="I170" s="64">
        <v>0.18</v>
      </c>
      <c r="J170" s="64">
        <v>0.26</v>
      </c>
      <c r="K170" s="71">
        <v>0.23232552852921118</v>
      </c>
      <c r="L170" s="65">
        <v>4692.2</v>
      </c>
      <c r="M170" s="65">
        <v>4692.2</v>
      </c>
      <c r="N170" s="13">
        <v>4693</v>
      </c>
      <c r="O170" s="13">
        <v>4417</v>
      </c>
      <c r="P170" s="30" t="s">
        <v>4</v>
      </c>
      <c r="Q170" s="13">
        <v>4693</v>
      </c>
      <c r="R170" s="13">
        <v>4417</v>
      </c>
      <c r="S170" s="23">
        <v>4555</v>
      </c>
      <c r="T170" s="41"/>
      <c r="U170" s="13">
        <v>5020.2</v>
      </c>
      <c r="V170" s="13">
        <v>5057.5</v>
      </c>
      <c r="W170" s="24">
        <v>5085.1000000000004</v>
      </c>
      <c r="X170" s="58" t="str">
        <f>HYPERLINK("http://drinc.ca.gov/DNN/Portals/0/SelfCert/dfdb8859-e247-4f68-ab26-640f95a6e564.xlsx","WS1")</f>
        <v>WS1</v>
      </c>
      <c r="Y170" s="10"/>
      <c r="Z170" s="26" t="s">
        <v>13</v>
      </c>
      <c r="AA170" s="13">
        <v>-530.1</v>
      </c>
      <c r="AB170" s="66">
        <v>0</v>
      </c>
      <c r="AC170" s="30" t="s">
        <v>14</v>
      </c>
      <c r="AD170" s="29" t="s">
        <v>590</v>
      </c>
      <c r="AE170" s="32"/>
      <c r="AF170" s="32"/>
      <c r="AG170" s="17"/>
      <c r="AH170" s="27"/>
      <c r="AI170" s="27"/>
      <c r="AJ170" s="11"/>
      <c r="AK170" s="58" t="str">
        <f>HYPERLINK("http://drinc.ca.gov/DNN/Portals/0/SelfCert/24e5e077-5bdd-4f35-b5f3-b353f6eb5964.pdf","Cert")</f>
        <v>Cert</v>
      </c>
      <c r="AL170" s="58" t="str">
        <f>HYPERLINK("http://drinc.ca.gov/DNN/Portals/0/SelfCert/73da6bcd-61da-4e22-bb43-187cafa2bb7e.xlsx","Analysis")</f>
        <v>Analysis</v>
      </c>
    </row>
    <row r="171" spans="1:38" s="19" customFormat="1" ht="14.4" customHeight="1" x14ac:dyDescent="0.3">
      <c r="A171" s="12" t="s">
        <v>456</v>
      </c>
      <c r="B171" s="68" t="s">
        <v>16</v>
      </c>
      <c r="C171" s="73">
        <v>111931</v>
      </c>
      <c r="D171" s="14">
        <v>16220.7</v>
      </c>
      <c r="E171" s="14">
        <v>16553.599999999999</v>
      </c>
      <c r="F171" s="18">
        <v>0</v>
      </c>
      <c r="G171" s="68" t="s">
        <v>776</v>
      </c>
      <c r="H171" s="64">
        <v>0.2</v>
      </c>
      <c r="I171" s="64">
        <v>0.14000000000000001</v>
      </c>
      <c r="J171" s="64">
        <v>0.2</v>
      </c>
      <c r="K171" s="71">
        <v>0.22290117227890527</v>
      </c>
      <c r="L171" s="65">
        <v>16510.7</v>
      </c>
      <c r="M171" s="65">
        <v>16510.7</v>
      </c>
      <c r="N171" s="13">
        <v>16510.7</v>
      </c>
      <c r="O171" s="13">
        <v>15930.7</v>
      </c>
      <c r="P171" s="30" t="s">
        <v>4</v>
      </c>
      <c r="Q171" s="13">
        <v>16510.7</v>
      </c>
      <c r="R171" s="13">
        <v>15930.7</v>
      </c>
      <c r="S171" s="23">
        <v>16220.7</v>
      </c>
      <c r="T171" s="41"/>
      <c r="U171" s="13">
        <v>16553.62</v>
      </c>
      <c r="V171" s="13">
        <v>16553.599999999999</v>
      </c>
      <c r="W171" s="24">
        <v>16553.599999999999</v>
      </c>
      <c r="X171" s="58" t="str">
        <f>HYPERLINK("http://drinc.ca.gov/DNN/Portals/0/SelfCert/86c4217f-80d0-4012-bb16-d799226476cc.xlsx","WS1")</f>
        <v>WS1</v>
      </c>
      <c r="Y171" s="10" t="s">
        <v>744</v>
      </c>
      <c r="Z171" s="26" t="s">
        <v>13</v>
      </c>
      <c r="AA171" s="13">
        <v>-332.9</v>
      </c>
      <c r="AB171" s="66">
        <v>0</v>
      </c>
      <c r="AC171" s="30" t="s">
        <v>14</v>
      </c>
      <c r="AD171" s="29"/>
      <c r="AE171" s="32"/>
      <c r="AF171" s="32"/>
      <c r="AG171" s="17"/>
      <c r="AH171" s="27"/>
      <c r="AI171" s="27"/>
      <c r="AJ171" s="11"/>
      <c r="AK171" s="58" t="str">
        <f>HYPERLINK("http://drinc.ca.gov/DNN/Portals/0/SelfCert/0b1e0e89-e266-4ace-a108-6663bc4f9d67.pdf","Cert")</f>
        <v>Cert</v>
      </c>
      <c r="AL171" s="58" t="str">
        <f>HYPERLINK("http://drinc.ca.gov/DNN/Portals/0/SelfCert/fc2ad215-c4d9-4660-9efc-c55d9c306499.docx","Analysis")</f>
        <v>Analysis</v>
      </c>
    </row>
    <row r="172" spans="1:38" s="19" customFormat="1" ht="14.4" customHeight="1" x14ac:dyDescent="0.3">
      <c r="A172" s="12" t="s">
        <v>459</v>
      </c>
      <c r="B172" s="68" t="s">
        <v>16</v>
      </c>
      <c r="C172" s="73">
        <v>271817</v>
      </c>
      <c r="D172" s="14">
        <v>39119.199999999997</v>
      </c>
      <c r="E172" s="14">
        <v>39119.199999999997</v>
      </c>
      <c r="F172" s="18">
        <v>0</v>
      </c>
      <c r="G172" s="68" t="s">
        <v>776</v>
      </c>
      <c r="H172" s="64">
        <v>0.16</v>
      </c>
      <c r="I172" s="64">
        <v>0.14000000000000001</v>
      </c>
      <c r="J172" s="64">
        <v>0.26</v>
      </c>
      <c r="K172" s="71">
        <v>0.34816693566981782</v>
      </c>
      <c r="L172" s="65">
        <v>39767</v>
      </c>
      <c r="M172" s="65">
        <v>39767</v>
      </c>
      <c r="N172" s="13">
        <v>39667.599999999999</v>
      </c>
      <c r="O172" s="13">
        <v>38570.800000000003</v>
      </c>
      <c r="P172" s="30" t="s">
        <v>4</v>
      </c>
      <c r="Q172" s="13">
        <v>39667.599999999999</v>
      </c>
      <c r="R172" s="13">
        <v>38570.800000000003</v>
      </c>
      <c r="S172" s="23">
        <v>39119.199999999997</v>
      </c>
      <c r="T172" s="41"/>
      <c r="U172" s="13">
        <v>39119.21</v>
      </c>
      <c r="V172" s="13">
        <v>39119.199999999997</v>
      </c>
      <c r="W172" s="24">
        <v>39119.199999999997</v>
      </c>
      <c r="X172" s="58" t="str">
        <f>HYPERLINK("http://drinc.ca.gov/DNN/Portals/0/SelfCert/e6c0055c-0744-414d-b6ff-0cf4448e7542.xlsx","WS1")</f>
        <v>WS1</v>
      </c>
      <c r="Y172" s="10"/>
      <c r="Z172" s="26" t="s">
        <v>13</v>
      </c>
      <c r="AA172" s="13">
        <v>0</v>
      </c>
      <c r="AB172" s="15">
        <v>0</v>
      </c>
      <c r="AC172" s="30" t="s">
        <v>18</v>
      </c>
      <c r="AD172" s="29" t="s">
        <v>460</v>
      </c>
      <c r="AE172" s="32"/>
      <c r="AF172" s="32"/>
      <c r="AG172" s="17"/>
      <c r="AH172" s="27"/>
      <c r="AI172" s="27"/>
      <c r="AJ172" s="11"/>
      <c r="AK172" s="58" t="str">
        <f>HYPERLINK("http://drinc.ca.gov/DNN/Portals/0/SelfCert/8cfdf3b7-35ab-4839-8358-d6eb6c10e0a5.pdf","Cert")</f>
        <v>Cert</v>
      </c>
      <c r="AL172" s="58" t="str">
        <f>HYPERLINK("http://drinc.ca.gov/DNN/Portals/0/SelfCert/cbf87649-b6fe-44b5-acf9-4eb5a5db970a.pdf","Analysis")</f>
        <v>Analysis</v>
      </c>
    </row>
    <row r="173" spans="1:38" s="19" customFormat="1" ht="14.4" customHeight="1" x14ac:dyDescent="0.3">
      <c r="A173" s="12" t="s">
        <v>205</v>
      </c>
      <c r="B173" s="68" t="s">
        <v>40</v>
      </c>
      <c r="C173" s="73">
        <v>120973</v>
      </c>
      <c r="D173" s="14">
        <v>20698.7</v>
      </c>
      <c r="E173" s="14">
        <v>20762</v>
      </c>
      <c r="F173" s="18">
        <v>0</v>
      </c>
      <c r="G173" s="68" t="s">
        <v>776</v>
      </c>
      <c r="H173" s="64">
        <v>0.16</v>
      </c>
      <c r="I173" s="64">
        <v>0.16</v>
      </c>
      <c r="J173" s="64">
        <v>0.23</v>
      </c>
      <c r="K173" s="71">
        <v>0.23118355776045363</v>
      </c>
      <c r="L173" s="65">
        <v>21598.5</v>
      </c>
      <c r="M173" s="65">
        <v>21598.5</v>
      </c>
      <c r="N173" s="13">
        <v>7037.9</v>
      </c>
      <c r="O173" s="13">
        <v>6451.5</v>
      </c>
      <c r="P173" s="30" t="s">
        <v>5</v>
      </c>
      <c r="Q173" s="13">
        <v>21598.5</v>
      </c>
      <c r="R173" s="13">
        <v>19798.900000000001</v>
      </c>
      <c r="S173" s="23">
        <v>20698.7</v>
      </c>
      <c r="T173" s="41"/>
      <c r="U173" s="13">
        <v>21279.200000000001</v>
      </c>
      <c r="V173" s="13">
        <v>21075.7</v>
      </c>
      <c r="W173" s="24">
        <v>20762</v>
      </c>
      <c r="X173" s="58" t="str">
        <f>HYPERLINK("http://www.drinc.ca.gov/DNN/Portals/0/SelfCert/7c103720-a53b-4cb8-94e1-079f9b9b71a6.xlsx","WS1")</f>
        <v>WS1</v>
      </c>
      <c r="Y173" s="10" t="s">
        <v>206</v>
      </c>
      <c r="Z173" s="26" t="s">
        <v>13</v>
      </c>
      <c r="AA173" s="13">
        <v>-63.3</v>
      </c>
      <c r="AB173" s="15">
        <v>0</v>
      </c>
      <c r="AC173" s="30" t="s">
        <v>18</v>
      </c>
      <c r="AD173" s="29" t="s">
        <v>207</v>
      </c>
      <c r="AE173" s="32"/>
      <c r="AF173" s="32"/>
      <c r="AG173" s="17"/>
      <c r="AH173" s="27"/>
      <c r="AI173" s="27"/>
      <c r="AJ173" s="11"/>
      <c r="AK173" s="58" t="str">
        <f>HYPERLINK("http://www.drinc.ca.gov/DNN/Portals/0/SelfCert/a59b915b-6785-42f5-b845-aa0779869243.pdf","Cert")</f>
        <v>Cert</v>
      </c>
      <c r="AL173" s="58" t="str">
        <f>HYPERLINK("http://www.drinc.ca.gov/DNN/Portals/0/SelfCert/03695a01-594a-4636-b293-d826053498cf.doc","Analysis")</f>
        <v>Analysis</v>
      </c>
    </row>
    <row r="174" spans="1:38" s="19" customFormat="1" ht="14.4" customHeight="1" x14ac:dyDescent="0.3">
      <c r="A174" s="12" t="s">
        <v>363</v>
      </c>
      <c r="B174" s="68" t="s">
        <v>50</v>
      </c>
      <c r="C174" s="73">
        <v>26032</v>
      </c>
      <c r="D174" s="14">
        <v>5945.5</v>
      </c>
      <c r="E174" s="14">
        <v>14126</v>
      </c>
      <c r="F174" s="18">
        <v>0</v>
      </c>
      <c r="G174" s="68" t="s">
        <v>776</v>
      </c>
      <c r="H174" s="64">
        <v>0.36</v>
      </c>
      <c r="I174" s="64">
        <v>0.33</v>
      </c>
      <c r="J174" s="64">
        <v>0.37</v>
      </c>
      <c r="K174" s="71">
        <v>0.38559015206372194</v>
      </c>
      <c r="L174" s="65">
        <v>6693.2</v>
      </c>
      <c r="M174" s="65">
        <v>6693.2</v>
      </c>
      <c r="N174" s="13">
        <v>6551</v>
      </c>
      <c r="O174" s="13">
        <v>5340</v>
      </c>
      <c r="P174" s="30" t="s">
        <v>4</v>
      </c>
      <c r="Q174" s="13">
        <v>6551</v>
      </c>
      <c r="R174" s="13">
        <v>5340</v>
      </c>
      <c r="S174" s="23">
        <v>5945.5</v>
      </c>
      <c r="T174" s="41"/>
      <c r="U174" s="13">
        <v>23861</v>
      </c>
      <c r="V174" s="13">
        <v>13755</v>
      </c>
      <c r="W174" s="24">
        <v>14126</v>
      </c>
      <c r="X174" s="58" t="str">
        <f>HYPERLINK("http://drinc.ca.gov/DNN/Portals/0/SelfCert/4f1ec5eb-c8f3-4bf9-b621-a1f516bec55c.xlsx","WS1")</f>
        <v>WS1</v>
      </c>
      <c r="Y174" s="10"/>
      <c r="Z174" s="26" t="s">
        <v>13</v>
      </c>
      <c r="AA174" s="13">
        <v>-8180.5</v>
      </c>
      <c r="AB174" s="66">
        <v>0</v>
      </c>
      <c r="AC174" s="30" t="s">
        <v>14</v>
      </c>
      <c r="AD174" s="29"/>
      <c r="AE174" s="32"/>
      <c r="AF174" s="32"/>
      <c r="AG174" s="17"/>
      <c r="AH174" s="27"/>
      <c r="AI174" s="27"/>
      <c r="AJ174" s="11"/>
      <c r="AK174" s="58" t="str">
        <f>HYPERLINK("http://drinc.ca.gov/DNN/Portals/0/SelfCert/e031a4e4-0436-43e1-8be2-ca9093ad1c23.pdf","Cert")</f>
        <v>Cert</v>
      </c>
      <c r="AL174" s="58" t="str">
        <f>HYPERLINK("http://drinc.ca.gov/DNN/Portals/0/SelfCert/052a2d97-ba35-440f-bb04-56915ec7132e.docx","Analysis")</f>
        <v>Analysis</v>
      </c>
    </row>
    <row r="175" spans="1:38" s="19" customFormat="1" ht="14.4" customHeight="1" x14ac:dyDescent="0.3">
      <c r="A175" s="12" t="s">
        <v>37</v>
      </c>
      <c r="B175" s="68" t="s">
        <v>38</v>
      </c>
      <c r="C175" s="73">
        <v>10442.333333333334</v>
      </c>
      <c r="D175" s="14">
        <v>1333.5</v>
      </c>
      <c r="E175" s="14">
        <v>1890</v>
      </c>
      <c r="F175" s="18">
        <v>0</v>
      </c>
      <c r="G175" s="68" t="s">
        <v>776</v>
      </c>
      <c r="H175" s="64">
        <v>0.16</v>
      </c>
      <c r="I175" s="64">
        <v>0.16</v>
      </c>
      <c r="J175" s="64">
        <v>0.27</v>
      </c>
      <c r="K175" s="71">
        <v>0.22327410659716229</v>
      </c>
      <c r="L175" s="65">
        <v>1450.6</v>
      </c>
      <c r="M175" s="65">
        <v>1450.6</v>
      </c>
      <c r="N175" s="13">
        <v>1449</v>
      </c>
      <c r="O175" s="13">
        <v>1218</v>
      </c>
      <c r="P175" s="30" t="s">
        <v>4</v>
      </c>
      <c r="Q175" s="13">
        <v>1449</v>
      </c>
      <c r="R175" s="13">
        <v>1218</v>
      </c>
      <c r="S175" s="23">
        <v>1333.5</v>
      </c>
      <c r="T175" s="41"/>
      <c r="U175" s="13">
        <v>1890</v>
      </c>
      <c r="V175" s="13">
        <v>1890</v>
      </c>
      <c r="W175" s="24">
        <v>1890</v>
      </c>
      <c r="X175" s="58" t="str">
        <f>HYPERLINK("http://drinc.ca.gov/DNN/Portals/0/SelfCert/5871c6b0-a3e6-42db-8a3c-d7e5e8ffa5d9.xlsx","WS1")</f>
        <v>WS1</v>
      </c>
      <c r="Y175" s="10"/>
      <c r="Z175" s="26" t="s">
        <v>13</v>
      </c>
      <c r="AA175" s="13">
        <v>-556.5</v>
      </c>
      <c r="AB175" s="66">
        <v>0</v>
      </c>
      <c r="AC175" s="30" t="s">
        <v>14</v>
      </c>
      <c r="AD175" s="29"/>
      <c r="AE175" s="32"/>
      <c r="AF175" s="32"/>
      <c r="AG175" s="17"/>
      <c r="AH175" s="27"/>
      <c r="AI175" s="27"/>
      <c r="AJ175" s="11"/>
      <c r="AK175" s="58" t="str">
        <f>HYPERLINK("http://drinc.ca.gov/DNN/Portals/0/SelfCert/1480c7db-990d-4189-ba3e-a75cc025787b.pdf","Cert")</f>
        <v>Cert</v>
      </c>
      <c r="AL175" s="58" t="str">
        <f>HYPERLINK("http://drinc.ca.gov/DNN/Portals/0/SelfCert/c8e3c8f7-7715-4fb5-aaee-19ef28a0dadf.docx","Analysis")</f>
        <v>Analysis</v>
      </c>
    </row>
    <row r="176" spans="1:38" s="19" customFormat="1" ht="14.4" customHeight="1" x14ac:dyDescent="0.3">
      <c r="A176" s="12" t="s">
        <v>649</v>
      </c>
      <c r="B176" s="68" t="s">
        <v>50</v>
      </c>
      <c r="C176" s="73">
        <v>45965.166666666664</v>
      </c>
      <c r="D176" s="14">
        <v>9903.2000000000007</v>
      </c>
      <c r="E176" s="14">
        <v>10659</v>
      </c>
      <c r="F176" s="18">
        <v>0</v>
      </c>
      <c r="G176" s="68" t="s">
        <v>776</v>
      </c>
      <c r="H176" s="64">
        <v>0.32</v>
      </c>
      <c r="I176" s="64">
        <v>0.28000000000000003</v>
      </c>
      <c r="J176" s="64">
        <v>0.32</v>
      </c>
      <c r="K176" s="71">
        <v>0.20893235180908387</v>
      </c>
      <c r="L176" s="65">
        <v>10857.5</v>
      </c>
      <c r="M176" s="65">
        <v>10857.5</v>
      </c>
      <c r="N176" s="13">
        <v>3538</v>
      </c>
      <c r="O176" s="13">
        <v>2915.9</v>
      </c>
      <c r="P176" s="30" t="s">
        <v>5</v>
      </c>
      <c r="Q176" s="13">
        <v>10857.7</v>
      </c>
      <c r="R176" s="13">
        <v>8948.6</v>
      </c>
      <c r="S176" s="23">
        <v>9903.2000000000007</v>
      </c>
      <c r="T176" s="41"/>
      <c r="U176" s="13">
        <v>10659</v>
      </c>
      <c r="V176" s="13">
        <v>10659</v>
      </c>
      <c r="W176" s="24">
        <v>10659</v>
      </c>
      <c r="X176" s="58" t="str">
        <f>HYPERLINK("http://drinc.ca.gov/DNN/Portals/0/SelfCert/2cd4ac26-ae33-40e8-9b83-2923a91c0e23.xlsx","WS1")</f>
        <v>WS1</v>
      </c>
      <c r="Y176" s="10"/>
      <c r="Z176" s="26" t="s">
        <v>13</v>
      </c>
      <c r="AA176" s="13">
        <v>-755.8</v>
      </c>
      <c r="AB176" s="66">
        <v>0</v>
      </c>
      <c r="AC176" s="30" t="s">
        <v>14</v>
      </c>
      <c r="AD176" s="29"/>
      <c r="AE176" s="32"/>
      <c r="AF176" s="32"/>
      <c r="AG176" s="17"/>
      <c r="AH176" s="27"/>
      <c r="AI176" s="27"/>
      <c r="AJ176" s="11"/>
      <c r="AK176" s="58" t="str">
        <f>HYPERLINK("http://drinc.ca.gov/DNN/Portals/0/SelfCert/583c282e-1c3d-4ee7-9d9b-d19ce30970ac.pdf","Cert")</f>
        <v>Cert</v>
      </c>
      <c r="AL176" s="58" t="str">
        <f>HYPERLINK("http://drinc.ca.gov/DNN/Portals/0/SelfCert/4e39d543-082a-420f-972f-199f5fbc087c.xlsx","Analysis")</f>
        <v>Analysis</v>
      </c>
    </row>
    <row r="177" spans="1:38" s="19" customFormat="1" ht="14.4" customHeight="1" x14ac:dyDescent="0.3">
      <c r="A177" s="12" t="s">
        <v>368</v>
      </c>
      <c r="B177" s="68" t="s">
        <v>46</v>
      </c>
      <c r="C177" s="73">
        <v>31017.666666666668</v>
      </c>
      <c r="D177" s="14">
        <v>12779.9</v>
      </c>
      <c r="E177" s="14">
        <v>18464.3</v>
      </c>
      <c r="F177" s="18">
        <v>0</v>
      </c>
      <c r="G177" s="68" t="s">
        <v>776</v>
      </c>
      <c r="H177" s="64">
        <v>0.36</v>
      </c>
      <c r="I177" s="64">
        <v>0.3</v>
      </c>
      <c r="J177" s="64">
        <v>0.26</v>
      </c>
      <c r="K177" s="71">
        <v>0.18238927072816546</v>
      </c>
      <c r="L177" s="65">
        <v>12959</v>
      </c>
      <c r="M177" s="65">
        <v>12959</v>
      </c>
      <c r="N177" s="13">
        <v>4222.7</v>
      </c>
      <c r="O177" s="13">
        <v>4106</v>
      </c>
      <c r="P177" s="30" t="s">
        <v>5</v>
      </c>
      <c r="Q177" s="13">
        <v>12959</v>
      </c>
      <c r="R177" s="13">
        <v>12600.8</v>
      </c>
      <c r="S177" s="23">
        <v>12779.9</v>
      </c>
      <c r="T177" s="41"/>
      <c r="U177" s="13">
        <v>19884.599999999999</v>
      </c>
      <c r="V177" s="13">
        <v>19884.599999999999</v>
      </c>
      <c r="W177" s="24">
        <v>18464.3</v>
      </c>
      <c r="X177" s="58" t="str">
        <f>HYPERLINK("https://drinc.ca.gov/DNN/Portals/0/SelfCert/039253c4-4fb6-4c1e-a05d-3291dfbcd127.xlsx","WS1")</f>
        <v>WS1</v>
      </c>
      <c r="Y177" s="10"/>
      <c r="Z177" s="26" t="s">
        <v>13</v>
      </c>
      <c r="AA177" s="13">
        <v>-5684.4</v>
      </c>
      <c r="AB177" s="66">
        <v>0</v>
      </c>
      <c r="AC177" s="30" t="s">
        <v>18</v>
      </c>
      <c r="AD177" s="29" t="s">
        <v>369</v>
      </c>
      <c r="AE177" s="32"/>
      <c r="AF177" s="32"/>
      <c r="AG177" s="17"/>
      <c r="AH177" s="27"/>
      <c r="AI177" s="27"/>
      <c r="AJ177" s="11"/>
      <c r="AK177" s="58" t="str">
        <f>HYPERLINK("https://drinc.ca.gov/DNN/Portals/0/SelfCert/9cc0ee26-2939-42f5-8232-af298121231f.pdf","Cert")</f>
        <v>Cert</v>
      </c>
      <c r="AL177" s="58" t="str">
        <f>HYPERLINK("https://drinc.ca.gov/DNN/Portals/0/SelfCert/cfd54d65-4bff-4db5-9483-aa665b1e40a7.xls","Analysis")</f>
        <v>Analysis</v>
      </c>
    </row>
    <row r="178" spans="1:38" s="19" customFormat="1" ht="14.4" customHeight="1" x14ac:dyDescent="0.3">
      <c r="A178" s="12" t="s">
        <v>674</v>
      </c>
      <c r="B178" s="68" t="s">
        <v>58</v>
      </c>
      <c r="C178" s="73">
        <v>16900</v>
      </c>
      <c r="D178" s="14">
        <v>1551.5</v>
      </c>
      <c r="E178" s="14">
        <v>3705</v>
      </c>
      <c r="F178" s="18">
        <v>0</v>
      </c>
      <c r="G178" s="68" t="s">
        <v>776</v>
      </c>
      <c r="H178" s="64">
        <v>0.04</v>
      </c>
      <c r="I178" s="64">
        <v>0.04</v>
      </c>
      <c r="J178" s="64">
        <v>0.15</v>
      </c>
      <c r="K178" s="71">
        <v>0.13144515651479438</v>
      </c>
      <c r="L178" s="65">
        <v>1579.3</v>
      </c>
      <c r="M178" s="65">
        <v>1579.3</v>
      </c>
      <c r="N178" s="13">
        <v>1630</v>
      </c>
      <c r="O178" s="13">
        <v>1473</v>
      </c>
      <c r="P178" s="30" t="s">
        <v>4</v>
      </c>
      <c r="Q178" s="13">
        <v>1630</v>
      </c>
      <c r="R178" s="13">
        <v>1473</v>
      </c>
      <c r="S178" s="23">
        <v>1551.5</v>
      </c>
      <c r="T178" s="41"/>
      <c r="U178" s="13">
        <v>3705</v>
      </c>
      <c r="V178" s="13">
        <v>3705</v>
      </c>
      <c r="W178" s="24">
        <v>3705</v>
      </c>
      <c r="X178" s="58" t="str">
        <f>HYPERLINK("http://drinc.ca.gov/DNN/Portals/0/SelfCert/a7271b79-1c32-47e7-9d24-7f6e08eb6b4d.xlsx","WS1")</f>
        <v>WS1</v>
      </c>
      <c r="Y178" s="10"/>
      <c r="Z178" s="26" t="s">
        <v>13</v>
      </c>
      <c r="AA178" s="13">
        <v>-2153.5</v>
      </c>
      <c r="AB178" s="66">
        <v>0</v>
      </c>
      <c r="AC178" s="30" t="s">
        <v>14</v>
      </c>
      <c r="AD178" s="29"/>
      <c r="AE178" s="32"/>
      <c r="AF178" s="32"/>
      <c r="AG178" s="17"/>
      <c r="AH178" s="27"/>
      <c r="AI178" s="27"/>
      <c r="AJ178" s="11"/>
      <c r="AK178" s="58" t="str">
        <f>HYPERLINK("http://drinc.ca.gov/DNN/Portals/0/SelfCert/d0991a1a-4049-4a66-8695-cf9ddd50a0cb.pdf","Cert")</f>
        <v>Cert</v>
      </c>
      <c r="AL178" s="58" t="str">
        <f>HYPERLINK("http://drinc.ca.gov/DNN/Portals/0/SelfCert/57c9e666-0906-4aba-bbd5-31063e1827df.docx","Analysis")</f>
        <v>Analysis</v>
      </c>
    </row>
    <row r="179" spans="1:38" s="19" customFormat="1" ht="14.4" customHeight="1" x14ac:dyDescent="0.3">
      <c r="A179" s="12" t="s">
        <v>675</v>
      </c>
      <c r="B179" s="68" t="s">
        <v>16</v>
      </c>
      <c r="C179" s="73">
        <v>32219</v>
      </c>
      <c r="D179" s="14">
        <v>3438.2</v>
      </c>
      <c r="E179" s="14">
        <v>3438.2</v>
      </c>
      <c r="F179" s="18">
        <v>0</v>
      </c>
      <c r="G179" s="68" t="s">
        <v>776</v>
      </c>
      <c r="H179" s="64">
        <v>0.16</v>
      </c>
      <c r="I179" s="64">
        <v>0.09</v>
      </c>
      <c r="J179" s="64">
        <v>0.17</v>
      </c>
      <c r="K179" s="71">
        <v>0.20241307651747786</v>
      </c>
      <c r="L179" s="65">
        <v>3498.9</v>
      </c>
      <c r="M179" s="65">
        <v>3498.9</v>
      </c>
      <c r="N179" s="13">
        <v>3499</v>
      </c>
      <c r="O179" s="13">
        <v>3377.5</v>
      </c>
      <c r="P179" s="30" t="s">
        <v>4</v>
      </c>
      <c r="Q179" s="13">
        <v>3498.9</v>
      </c>
      <c r="R179" s="13">
        <v>3377.4</v>
      </c>
      <c r="S179" s="23">
        <v>3438.2</v>
      </c>
      <c r="T179" s="41"/>
      <c r="U179" s="13">
        <v>3438.2</v>
      </c>
      <c r="V179" s="13">
        <v>3438.2</v>
      </c>
      <c r="W179" s="24">
        <v>3438.2</v>
      </c>
      <c r="X179" s="58" t="str">
        <f>HYPERLINK("http://drinc.ca.gov/DNN/Portals/0/SelfCert/5c3cf246-8b7f-40a1-88b3-0c67c16ad5e0.xlsx","WS1")</f>
        <v>WS1</v>
      </c>
      <c r="Y179" s="10"/>
      <c r="Z179" s="26" t="s">
        <v>13</v>
      </c>
      <c r="AA179" s="13">
        <v>0</v>
      </c>
      <c r="AB179" s="15">
        <v>0</v>
      </c>
      <c r="AC179" s="30" t="s">
        <v>18</v>
      </c>
      <c r="AD179" s="29"/>
      <c r="AE179" s="32"/>
      <c r="AF179" s="32"/>
      <c r="AG179" s="17"/>
      <c r="AH179" s="27"/>
      <c r="AI179" s="27"/>
      <c r="AJ179" s="11"/>
      <c r="AK179" s="58" t="str">
        <f>HYPERLINK("http://drinc.ca.gov/DNN/Portals/0/SelfCert/f3a3efd8-e5a7-47c0-89b5-e4112d2ea1e6.pdf","Cert")</f>
        <v>Cert</v>
      </c>
      <c r="AL179" s="58" t="str">
        <f>HYPERLINK("http://drinc.ca.gov/DNN/Portals/0/SelfCert/2d9f8461-04c9-4ace-b726-1df31917c242.xlsx","Analysis")</f>
        <v>Analysis</v>
      </c>
    </row>
    <row r="180" spans="1:38" s="19" customFormat="1" ht="14.4" customHeight="1" x14ac:dyDescent="0.3">
      <c r="A180" s="12" t="s">
        <v>527</v>
      </c>
      <c r="B180" s="68" t="s">
        <v>58</v>
      </c>
      <c r="C180" s="73">
        <v>20032</v>
      </c>
      <c r="D180" s="14">
        <v>2387.4</v>
      </c>
      <c r="E180" s="14">
        <v>3478</v>
      </c>
      <c r="F180" s="18">
        <v>0</v>
      </c>
      <c r="G180" s="68" t="s">
        <v>776</v>
      </c>
      <c r="H180" s="64">
        <v>0.24</v>
      </c>
      <c r="I180" s="64">
        <v>0.12</v>
      </c>
      <c r="J180" s="64">
        <v>0.09</v>
      </c>
      <c r="K180" s="71">
        <v>3.5316935092846169E-2</v>
      </c>
      <c r="L180" s="65">
        <v>2438.6999999999998</v>
      </c>
      <c r="M180" s="65">
        <v>2438.6999999999998</v>
      </c>
      <c r="N180" s="13">
        <v>2438.8000000000002</v>
      </c>
      <c r="O180" s="13">
        <v>2335.9</v>
      </c>
      <c r="P180" s="30" t="s">
        <v>4</v>
      </c>
      <c r="Q180" s="13">
        <v>2438.8000000000002</v>
      </c>
      <c r="R180" s="13">
        <v>2335.9</v>
      </c>
      <c r="S180" s="23">
        <v>2387.4</v>
      </c>
      <c r="T180" s="41" t="s">
        <v>528</v>
      </c>
      <c r="U180" s="13">
        <v>3478</v>
      </c>
      <c r="V180" s="13">
        <v>3478</v>
      </c>
      <c r="W180" s="24">
        <v>3478</v>
      </c>
      <c r="X180" s="58" t="str">
        <f>HYPERLINK("http://drinc.ca.gov/DNN/Portals/0/SelfCert/64cd040e-1f2b-4d1c-9ee3-8f0164eaa47d.xlsx","WS1")</f>
        <v>WS1</v>
      </c>
      <c r="Y180" s="10" t="s">
        <v>529</v>
      </c>
      <c r="Z180" s="26" t="s">
        <v>13</v>
      </c>
      <c r="AA180" s="13">
        <v>-1090.7</v>
      </c>
      <c r="AB180" s="66">
        <v>0</v>
      </c>
      <c r="AC180" s="30" t="s">
        <v>14</v>
      </c>
      <c r="AD180" s="29"/>
      <c r="AE180" s="32"/>
      <c r="AF180" s="32"/>
      <c r="AG180" s="17"/>
      <c r="AH180" s="27"/>
      <c r="AI180" s="27"/>
      <c r="AJ180" s="11"/>
      <c r="AK180" s="58" t="str">
        <f>HYPERLINK("http://drinc.ca.gov/DNN/Portals/0/SelfCert/ff995a00-ba38-4f6f-9b8a-5c56459a6eee.pdf","Cert")</f>
        <v>Cert</v>
      </c>
      <c r="AL180" s="58" t="str">
        <f>HYPERLINK("http://drinc.ca.gov/DNN/Portals/0/SelfCert/867eb6c9-6665-4c7a-8d9d-d8af2ec9f353.docx","Analysis")</f>
        <v>Analysis</v>
      </c>
    </row>
    <row r="181" spans="1:38" s="19" customFormat="1" ht="14.4" customHeight="1" x14ac:dyDescent="0.3">
      <c r="A181" s="12" t="s">
        <v>372</v>
      </c>
      <c r="B181" s="68" t="s">
        <v>58</v>
      </c>
      <c r="C181" s="73">
        <v>43398</v>
      </c>
      <c r="D181" s="14">
        <v>4872.5</v>
      </c>
      <c r="E181" s="14">
        <v>4872</v>
      </c>
      <c r="F181" s="18">
        <v>0</v>
      </c>
      <c r="G181" s="68" t="s">
        <v>776</v>
      </c>
      <c r="H181" s="64">
        <v>0.16</v>
      </c>
      <c r="I181" s="64">
        <v>0.16</v>
      </c>
      <c r="J181" s="64">
        <v>0.18</v>
      </c>
      <c r="K181" s="71">
        <v>8.9873417721519022E-2</v>
      </c>
      <c r="L181" s="65">
        <v>5118.8999999999996</v>
      </c>
      <c r="M181" s="65">
        <v>5118.8999999999996</v>
      </c>
      <c r="N181" s="13">
        <v>5120</v>
      </c>
      <c r="O181" s="13">
        <v>4625</v>
      </c>
      <c r="P181" s="30" t="s">
        <v>4</v>
      </c>
      <c r="Q181" s="13">
        <v>5120</v>
      </c>
      <c r="R181" s="13">
        <v>4625</v>
      </c>
      <c r="S181" s="23">
        <v>4872.5</v>
      </c>
      <c r="T181" s="41"/>
      <c r="U181" s="13">
        <v>4872</v>
      </c>
      <c r="V181" s="13">
        <v>4872</v>
      </c>
      <c r="W181" s="24">
        <v>4872</v>
      </c>
      <c r="X181" s="58" t="str">
        <f>HYPERLINK("http://drinc.ca.gov/DNN/Portals/0/SelfCert/80911794-54de-4f2b-9561-ffb70cd4746e.xlsx","WS1")</f>
        <v>WS1</v>
      </c>
      <c r="Y181" s="10"/>
      <c r="Z181" s="26" t="s">
        <v>13</v>
      </c>
      <c r="AA181" s="13">
        <v>0.5</v>
      </c>
      <c r="AB181" s="15">
        <v>0</v>
      </c>
      <c r="AC181" s="30" t="s">
        <v>14</v>
      </c>
      <c r="AD181" s="29"/>
      <c r="AE181" s="32"/>
      <c r="AF181" s="32"/>
      <c r="AG181" s="17"/>
      <c r="AH181" s="27"/>
      <c r="AI181" s="27"/>
      <c r="AJ181" s="11"/>
      <c r="AK181" s="58" t="str">
        <f>HYPERLINK("http://drinc.ca.gov/DNN/Portals/0/SelfCert/138023cc-3fb6-4bc5-ab39-fedaec04290c.pdf","Cert")</f>
        <v>Cert</v>
      </c>
      <c r="AL181" s="58" t="str">
        <f>HYPERLINK("http://drinc.ca.gov/DNN/Portals/0/SelfCert/fb60b9f3-2657-46da-a616-d282d3075521.xlsx","Analysis")</f>
        <v>Analysis</v>
      </c>
    </row>
    <row r="182" spans="1:38" s="19" customFormat="1" ht="14.4" customHeight="1" x14ac:dyDescent="0.3">
      <c r="A182" s="12" t="s">
        <v>39</v>
      </c>
      <c r="B182" s="68" t="s">
        <v>40</v>
      </c>
      <c r="C182" s="73">
        <v>23604.666666666668</v>
      </c>
      <c r="D182" s="14">
        <v>2921</v>
      </c>
      <c r="E182" s="14">
        <v>2921</v>
      </c>
      <c r="F182" s="18">
        <v>0</v>
      </c>
      <c r="G182" s="68" t="s">
        <v>776</v>
      </c>
      <c r="H182" s="64">
        <v>0.2</v>
      </c>
      <c r="I182" s="64">
        <v>0.2</v>
      </c>
      <c r="J182" s="64">
        <v>0.3</v>
      </c>
      <c r="K182" s="71">
        <v>7.8475693228486909E-2</v>
      </c>
      <c r="L182" s="65">
        <v>3204.9</v>
      </c>
      <c r="M182" s="65">
        <v>3204.9</v>
      </c>
      <c r="N182" s="13">
        <v>3205</v>
      </c>
      <c r="O182" s="13">
        <v>2637</v>
      </c>
      <c r="P182" s="30" t="s">
        <v>4</v>
      </c>
      <c r="Q182" s="13">
        <v>3205</v>
      </c>
      <c r="R182" s="13">
        <v>2637</v>
      </c>
      <c r="S182" s="23">
        <v>2921</v>
      </c>
      <c r="T182" s="41"/>
      <c r="U182" s="13">
        <v>2921</v>
      </c>
      <c r="V182" s="13">
        <v>2921</v>
      </c>
      <c r="W182" s="24">
        <v>2921</v>
      </c>
      <c r="X182" s="58" t="str">
        <f>HYPERLINK("http://drinc.ca.gov/DNN/Portals/0/SelfCert/0de42ab6-b142-4a2c-9f98-c559f1ceaf01.xlsx","WS1")</f>
        <v>WS1</v>
      </c>
      <c r="Y182" s="10"/>
      <c r="Z182" s="26" t="s">
        <v>13</v>
      </c>
      <c r="AA182" s="13">
        <v>0</v>
      </c>
      <c r="AB182" s="15">
        <v>0</v>
      </c>
      <c r="AC182" s="30" t="s">
        <v>14</v>
      </c>
      <c r="AD182" s="29"/>
      <c r="AE182" s="32"/>
      <c r="AF182" s="32"/>
      <c r="AG182" s="17"/>
      <c r="AH182" s="27"/>
      <c r="AI182" s="27"/>
      <c r="AJ182" s="11"/>
      <c r="AK182" s="58" t="str">
        <f>HYPERLINK("http://drinc.ca.gov/DNN/Portals/0/SelfCert/519cbecb-93c1-4ec7-ada5-4a4aab0e3021.pdf","Cert")</f>
        <v>Cert</v>
      </c>
      <c r="AL182" s="58" t="str">
        <f>HYPERLINK("http://drinc.ca.gov/DNN/Portals/0/SelfCert/6bbf96b0-cdc5-43bc-b8b2-1516aded0dee.XLSX","Analysis")</f>
        <v>Analysis</v>
      </c>
    </row>
    <row r="183" spans="1:38" s="19" customFormat="1" ht="14.4" customHeight="1" x14ac:dyDescent="0.3">
      <c r="A183" s="12" t="s">
        <v>183</v>
      </c>
      <c r="B183" s="68" t="s">
        <v>16</v>
      </c>
      <c r="C183" s="73">
        <v>46300</v>
      </c>
      <c r="D183" s="14">
        <v>5374.2</v>
      </c>
      <c r="E183" s="14">
        <v>4312.8999999999996</v>
      </c>
      <c r="F183" s="18">
        <v>0.2</v>
      </c>
      <c r="G183" s="68" t="s">
        <v>776</v>
      </c>
      <c r="H183" s="64">
        <v>0.2</v>
      </c>
      <c r="I183" s="64">
        <v>0.2</v>
      </c>
      <c r="J183" s="64">
        <v>0.19</v>
      </c>
      <c r="K183" s="71">
        <v>0.19808012184612922</v>
      </c>
      <c r="L183" s="65">
        <v>5507.6</v>
      </c>
      <c r="M183" s="65">
        <v>5507.6</v>
      </c>
      <c r="N183" s="13">
        <v>5507.6</v>
      </c>
      <c r="O183" s="13">
        <v>5240.8999999999996</v>
      </c>
      <c r="P183" s="30" t="s">
        <v>4</v>
      </c>
      <c r="Q183" s="13">
        <v>5507.6</v>
      </c>
      <c r="R183" s="13">
        <v>5240.8999999999996</v>
      </c>
      <c r="S183" s="23">
        <v>5374.2</v>
      </c>
      <c r="T183" s="41"/>
      <c r="U183" s="13">
        <v>4312.88</v>
      </c>
      <c r="V183" s="13">
        <v>4312.8999999999996</v>
      </c>
      <c r="W183" s="24">
        <v>4312.8999999999996</v>
      </c>
      <c r="X183" s="58" t="str">
        <f>HYPERLINK("http://drinc.ca.gov/DNN/Portals/0/SelfCert/d83b26d4-b735-4874-9c79-33f7b08c0416.xlsx","WS1")</f>
        <v>WS1</v>
      </c>
      <c r="Y183" s="10" t="s">
        <v>184</v>
      </c>
      <c r="Z183" s="26" t="s">
        <v>13</v>
      </c>
      <c r="AA183" s="13">
        <v>1061.4000000000001</v>
      </c>
      <c r="AB183" s="15">
        <v>0.2</v>
      </c>
      <c r="AC183" s="30" t="s">
        <v>14</v>
      </c>
      <c r="AD183" s="29"/>
      <c r="AE183" s="32"/>
      <c r="AF183" s="32"/>
      <c r="AG183" s="17"/>
      <c r="AH183" s="27"/>
      <c r="AI183" s="27"/>
      <c r="AJ183" s="11"/>
      <c r="AK183" s="58" t="str">
        <f>HYPERLINK("http://drinc.ca.gov/DNN/Portals/0/SelfCert/63a86aa1-4045-440f-b81e-4a5e9ea7b021.pdf","Cert")</f>
        <v>Cert</v>
      </c>
      <c r="AL183" s="58" t="str">
        <f>HYPERLINK("http://drinc.ca.gov/DNN/Portals/0/SelfCert/47124595-d2a2-4e10-816a-42fcebb783a1.docx","Analysis")</f>
        <v>Analysis</v>
      </c>
    </row>
    <row r="184" spans="1:38" s="19" customFormat="1" ht="14.4" customHeight="1" x14ac:dyDescent="0.3">
      <c r="A184" s="12" t="s">
        <v>434</v>
      </c>
      <c r="B184" s="68" t="s">
        <v>16</v>
      </c>
      <c r="C184" s="73">
        <v>21555</v>
      </c>
      <c r="D184" s="14">
        <v>2147.5</v>
      </c>
      <c r="E184" s="14">
        <v>2874</v>
      </c>
      <c r="F184" s="18">
        <v>0</v>
      </c>
      <c r="G184" s="68" t="s">
        <v>776</v>
      </c>
      <c r="H184" s="64">
        <v>0.08</v>
      </c>
      <c r="I184" s="64">
        <v>0.08</v>
      </c>
      <c r="J184" s="64">
        <v>0.17</v>
      </c>
      <c r="K184" s="71">
        <v>0.27699310215381723</v>
      </c>
      <c r="L184" s="65">
        <v>2187.8000000000002</v>
      </c>
      <c r="M184" s="65">
        <v>2187.8000000000002</v>
      </c>
      <c r="N184" s="13">
        <v>2188</v>
      </c>
      <c r="O184" s="13">
        <v>2107</v>
      </c>
      <c r="P184" s="30" t="s">
        <v>4</v>
      </c>
      <c r="Q184" s="13">
        <v>2188</v>
      </c>
      <c r="R184" s="13">
        <v>2107</v>
      </c>
      <c r="S184" s="23">
        <v>2147.5</v>
      </c>
      <c r="T184" s="41"/>
      <c r="U184" s="13">
        <v>2874</v>
      </c>
      <c r="V184" s="13">
        <v>2874</v>
      </c>
      <c r="W184" s="24">
        <v>2874</v>
      </c>
      <c r="X184" s="58" t="str">
        <f>HYPERLINK("http://drinc.ca.gov/DNN/Portals/0/SelfCert/77971c07-fde6-4d8f-927b-fea407d39a09.xlsx","WS1")</f>
        <v>WS1</v>
      </c>
      <c r="Y184" s="10"/>
      <c r="Z184" s="26" t="s">
        <v>13</v>
      </c>
      <c r="AA184" s="13">
        <v>-726.5</v>
      </c>
      <c r="AB184" s="66">
        <v>0</v>
      </c>
      <c r="AC184" s="30" t="s">
        <v>14</v>
      </c>
      <c r="AD184" s="29"/>
      <c r="AE184" s="32"/>
      <c r="AF184" s="32"/>
      <c r="AG184" s="17"/>
      <c r="AH184" s="27"/>
      <c r="AI184" s="27"/>
      <c r="AJ184" s="11"/>
      <c r="AK184" s="58" t="str">
        <f>HYPERLINK("http://drinc.ca.gov/DNN/Portals/0/SelfCert/721f11da-80cf-4fe2-a601-b34e2dc36028.pdf","Cert")</f>
        <v>Cert</v>
      </c>
      <c r="AL184" s="58" t="str">
        <f>HYPERLINK("http://drinc.ca.gov/DNN/Portals/0/SelfCert/50afeeba-705b-4c1b-95ad-16d7c511b47e.xlsx","Analysis")</f>
        <v>Analysis</v>
      </c>
    </row>
    <row r="185" spans="1:38" s="19" customFormat="1" ht="14.4" customHeight="1" x14ac:dyDescent="0.3">
      <c r="A185" s="12" t="s">
        <v>333</v>
      </c>
      <c r="B185" s="68" t="s">
        <v>40</v>
      </c>
      <c r="C185" s="73">
        <v>61625.333333333336</v>
      </c>
      <c r="D185" s="14">
        <v>9081</v>
      </c>
      <c r="E185" s="14">
        <v>9081</v>
      </c>
      <c r="F185" s="18">
        <v>0</v>
      </c>
      <c r="G185" s="68" t="s">
        <v>776</v>
      </c>
      <c r="H185" s="64">
        <v>0.16</v>
      </c>
      <c r="I185" s="64">
        <v>0.16</v>
      </c>
      <c r="J185" s="64">
        <v>0.25</v>
      </c>
      <c r="K185" s="71">
        <v>0.22164723205167791</v>
      </c>
      <c r="L185" s="65">
        <v>9795.7999999999993</v>
      </c>
      <c r="M185" s="65">
        <v>9795.7999999999993</v>
      </c>
      <c r="N185" s="13">
        <v>9795</v>
      </c>
      <c r="O185" s="13">
        <v>8367</v>
      </c>
      <c r="P185" s="30" t="s">
        <v>4</v>
      </c>
      <c r="Q185" s="13">
        <v>9795</v>
      </c>
      <c r="R185" s="13">
        <v>8367</v>
      </c>
      <c r="S185" s="23">
        <v>9081</v>
      </c>
      <c r="T185" s="41"/>
      <c r="U185" s="13">
        <v>9081</v>
      </c>
      <c r="V185" s="13">
        <v>9081</v>
      </c>
      <c r="W185" s="24">
        <v>9081</v>
      </c>
      <c r="X185" s="58" t="str">
        <f>HYPERLINK("http://drinc.ca.gov/DNN/Portals/0/SelfCert/a5b9a401-7f88-4f18-bdf8-f981c1d2b7b0.xlsx","WS1")</f>
        <v>WS1</v>
      </c>
      <c r="Y185" s="10"/>
      <c r="Z185" s="26" t="s">
        <v>13</v>
      </c>
      <c r="AA185" s="13">
        <v>0</v>
      </c>
      <c r="AB185" s="15">
        <v>0</v>
      </c>
      <c r="AC185" s="30" t="s">
        <v>14</v>
      </c>
      <c r="AD185" s="29"/>
      <c r="AE185" s="32"/>
      <c r="AF185" s="32"/>
      <c r="AG185" s="17"/>
      <c r="AH185" s="27"/>
      <c r="AI185" s="27"/>
      <c r="AJ185" s="11"/>
      <c r="AK185" s="58" t="str">
        <f>HYPERLINK("http://drinc.ca.gov/DNN/Portals/0/SelfCert/a7a37aab-043e-412a-8568-6fa787df7e0f.pdf","Cert")</f>
        <v>Cert</v>
      </c>
      <c r="AL185" s="58" t="str">
        <f>HYPERLINK("http://drinc.ca.gov/DNN/Portals/0/SelfCert/158f13d0-6439-49ad-8181-e3b6ec61c2c2.xlsx","Analysis")</f>
        <v>Analysis</v>
      </c>
    </row>
    <row r="186" spans="1:38" s="19" customFormat="1" ht="14.4" customHeight="1" x14ac:dyDescent="0.3">
      <c r="A186" s="12" t="s">
        <v>218</v>
      </c>
      <c r="B186" s="68" t="s">
        <v>58</v>
      </c>
      <c r="C186" s="73">
        <v>26887.666666666668</v>
      </c>
      <c r="D186" s="14">
        <v>4480</v>
      </c>
      <c r="E186" s="14">
        <v>10699</v>
      </c>
      <c r="F186" s="18">
        <v>0</v>
      </c>
      <c r="G186" s="68" t="s">
        <v>776</v>
      </c>
      <c r="H186" s="64">
        <v>0.04</v>
      </c>
      <c r="I186" s="64">
        <v>0.04</v>
      </c>
      <c r="J186" s="64">
        <v>0.12</v>
      </c>
      <c r="K186" s="71">
        <v>0.1075431401084882</v>
      </c>
      <c r="L186" s="65">
        <v>3472.1</v>
      </c>
      <c r="M186" s="65">
        <v>3472.1</v>
      </c>
      <c r="N186" s="13">
        <v>4487</v>
      </c>
      <c r="O186" s="13">
        <v>4473</v>
      </c>
      <c r="P186" s="30" t="s">
        <v>4</v>
      </c>
      <c r="Q186" s="13">
        <v>4487</v>
      </c>
      <c r="R186" s="13">
        <v>4473</v>
      </c>
      <c r="S186" s="23">
        <v>4480</v>
      </c>
      <c r="T186" s="41"/>
      <c r="U186" s="13">
        <v>10699</v>
      </c>
      <c r="V186" s="13">
        <v>10699</v>
      </c>
      <c r="W186" s="24">
        <v>10699</v>
      </c>
      <c r="X186" s="58" t="str">
        <f>HYPERLINK("https://drinc.ca.gov/DNN/Portals/0/SelfCert/39ee0606-d4d4-4c80-b9e6-32fe06661c4d.xlsx","WS1")</f>
        <v>WS1</v>
      </c>
      <c r="Y186" s="10"/>
      <c r="Z186" s="26" t="s">
        <v>13</v>
      </c>
      <c r="AA186" s="13">
        <v>-6219</v>
      </c>
      <c r="AB186" s="66">
        <v>0</v>
      </c>
      <c r="AC186" s="30" t="s">
        <v>14</v>
      </c>
      <c r="AD186" s="29"/>
      <c r="AE186" s="32"/>
      <c r="AF186" s="32"/>
      <c r="AG186" s="17"/>
      <c r="AH186" s="27"/>
      <c r="AI186" s="27"/>
      <c r="AJ186" s="11"/>
      <c r="AK186" s="58" t="str">
        <f>HYPERLINK("https://drinc.ca.gov/DNN/Portals/0/SelfCert/75d0e9cb-f2e5-4ce9-a601-7b3db7975533.pdf","Cert")</f>
        <v>Cert</v>
      </c>
      <c r="AL186" s="58" t="str">
        <f>HYPERLINK("https://drinc.ca.gov/DNN/Portals/0/SelfCert/dc04454c-3cc7-4150-bf51-a1697be536be.docx","Analysis")</f>
        <v>Analysis</v>
      </c>
    </row>
    <row r="187" spans="1:38" s="19" customFormat="1" ht="14.4" customHeight="1" x14ac:dyDescent="0.3">
      <c r="A187" s="12" t="s">
        <v>508</v>
      </c>
      <c r="B187" s="68" t="s">
        <v>27</v>
      </c>
      <c r="C187" s="73">
        <v>38798.833333333336</v>
      </c>
      <c r="D187" s="14">
        <v>5805</v>
      </c>
      <c r="E187" s="14">
        <v>5805</v>
      </c>
      <c r="F187" s="18">
        <v>0</v>
      </c>
      <c r="G187" s="68" t="s">
        <v>776</v>
      </c>
      <c r="H187" s="64">
        <v>0.28000000000000003</v>
      </c>
      <c r="I187" s="64">
        <v>0.23</v>
      </c>
      <c r="J187" s="64">
        <v>0.32</v>
      </c>
      <c r="K187" s="71">
        <v>0.22849058070060757</v>
      </c>
      <c r="L187" s="65">
        <v>6112.7</v>
      </c>
      <c r="M187" s="65">
        <v>6112.7</v>
      </c>
      <c r="N187" s="13">
        <v>6115</v>
      </c>
      <c r="O187" s="13">
        <v>5495</v>
      </c>
      <c r="P187" s="30" t="s">
        <v>4</v>
      </c>
      <c r="Q187" s="13">
        <v>6115</v>
      </c>
      <c r="R187" s="13">
        <v>5495</v>
      </c>
      <c r="S187" s="23">
        <v>5805</v>
      </c>
      <c r="T187" s="41" t="s">
        <v>509</v>
      </c>
      <c r="U187" s="13">
        <v>5805</v>
      </c>
      <c r="V187" s="13">
        <v>5805</v>
      </c>
      <c r="W187" s="24">
        <v>5805</v>
      </c>
      <c r="X187" s="58" t="str">
        <f>HYPERLINK("http://www.drinc.ca.gov/DNN/Portals/0/SelfCert/4651e492-ac27-47ae-8050-728275854502.xlsx","WS1")</f>
        <v>WS1</v>
      </c>
      <c r="Y187" s="10" t="s">
        <v>510</v>
      </c>
      <c r="Z187" s="26" t="s">
        <v>13</v>
      </c>
      <c r="AA187" s="13">
        <v>0</v>
      </c>
      <c r="AB187" s="15">
        <v>0</v>
      </c>
      <c r="AC187" s="30" t="s">
        <v>14</v>
      </c>
      <c r="AD187" s="29" t="s">
        <v>511</v>
      </c>
      <c r="AE187" s="32"/>
      <c r="AF187" s="32"/>
      <c r="AG187" s="17"/>
      <c r="AH187" s="27"/>
      <c r="AI187" s="27"/>
      <c r="AJ187" s="11"/>
      <c r="AK187" s="58" t="str">
        <f>HYPERLINK("http://www.drinc.ca.gov/DNN/Portals/0/SelfCert/e47d7eab-e6c4-424b-9358-57ce8256d5e8.pdf","Cert")</f>
        <v>Cert</v>
      </c>
      <c r="AL187" s="58" t="str">
        <f>HYPERLINK("http://www.drinc.ca.gov/DNN/Portals/0/SelfCert/6457f228-e343-4a1c-9634-add5a32eab07.xlsx","Analysis")</f>
        <v>Analysis</v>
      </c>
    </row>
    <row r="188" spans="1:38" s="19" customFormat="1" ht="14.4" customHeight="1" x14ac:dyDescent="0.3">
      <c r="A188" s="12" t="s">
        <v>318</v>
      </c>
      <c r="B188" s="68" t="s">
        <v>16</v>
      </c>
      <c r="C188" s="73">
        <v>48628</v>
      </c>
      <c r="D188" s="14">
        <v>9495.5</v>
      </c>
      <c r="E188" s="14">
        <v>9495</v>
      </c>
      <c r="F188" s="18">
        <v>0</v>
      </c>
      <c r="G188" s="68" t="s">
        <v>776</v>
      </c>
      <c r="H188" s="64">
        <v>0.24</v>
      </c>
      <c r="I188" s="64">
        <v>0.24</v>
      </c>
      <c r="J188" s="64">
        <v>0.27</v>
      </c>
      <c r="K188" s="71">
        <v>0.26604860233178818</v>
      </c>
      <c r="L188" s="65">
        <v>9590.2000000000007</v>
      </c>
      <c r="M188" s="65">
        <v>9590.2000000000007</v>
      </c>
      <c r="N188" s="13">
        <v>9577</v>
      </c>
      <c r="O188" s="13">
        <v>9414</v>
      </c>
      <c r="P188" s="30" t="s">
        <v>4</v>
      </c>
      <c r="Q188" s="13">
        <v>9577</v>
      </c>
      <c r="R188" s="13">
        <v>9414</v>
      </c>
      <c r="S188" s="23">
        <v>9495.5</v>
      </c>
      <c r="T188" s="41" t="s">
        <v>319</v>
      </c>
      <c r="U188" s="13">
        <v>9495</v>
      </c>
      <c r="V188" s="13">
        <v>9495</v>
      </c>
      <c r="W188" s="24">
        <v>9495</v>
      </c>
      <c r="X188" s="58" t="str">
        <f>HYPERLINK("http://drinc.ca.gov/DNN/Portals/0/SelfCert/e789a7ff-6cd0-4562-8c7f-5d357b8c8650.xlsx","WS1")</f>
        <v>WS1</v>
      </c>
      <c r="Y188" s="10" t="s">
        <v>320</v>
      </c>
      <c r="Z188" s="26" t="s">
        <v>13</v>
      </c>
      <c r="AA188" s="13">
        <v>0.5</v>
      </c>
      <c r="AB188" s="15">
        <v>0</v>
      </c>
      <c r="AC188" s="30" t="s">
        <v>18</v>
      </c>
      <c r="AD188" s="29" t="s">
        <v>321</v>
      </c>
      <c r="AE188" s="32"/>
      <c r="AF188" s="32"/>
      <c r="AG188" s="17"/>
      <c r="AH188" s="27"/>
      <c r="AI188" s="27"/>
      <c r="AJ188" s="11"/>
      <c r="AK188" s="58" t="str">
        <f>HYPERLINK("http://drinc.ca.gov/DNN/Portals/0/SelfCert/1e769662-3c1e-4f84-b244-98e94f3b0411.pdf","Cert")</f>
        <v>Cert</v>
      </c>
      <c r="AL188" s="63" t="s">
        <v>793</v>
      </c>
    </row>
    <row r="189" spans="1:38" s="19" customFormat="1" ht="14.4" customHeight="1" x14ac:dyDescent="0.3">
      <c r="A189" s="12" t="s">
        <v>132</v>
      </c>
      <c r="B189" s="68" t="s">
        <v>27</v>
      </c>
      <c r="C189" s="73">
        <v>56874.833333333336</v>
      </c>
      <c r="D189" s="14">
        <v>11637.1</v>
      </c>
      <c r="E189" s="14">
        <v>20402</v>
      </c>
      <c r="F189" s="18">
        <v>0</v>
      </c>
      <c r="G189" s="68" t="s">
        <v>776</v>
      </c>
      <c r="H189" s="64">
        <v>0.32</v>
      </c>
      <c r="I189" s="64">
        <v>0.28000000000000003</v>
      </c>
      <c r="J189" s="64">
        <v>0.4</v>
      </c>
      <c r="K189" s="71">
        <v>0.30455531453362261</v>
      </c>
      <c r="L189" s="65">
        <v>12308.3</v>
      </c>
      <c r="M189" s="65">
        <v>12308.3</v>
      </c>
      <c r="N189" s="13">
        <v>4009.7</v>
      </c>
      <c r="O189" s="13">
        <v>3574.3</v>
      </c>
      <c r="P189" s="30" t="s">
        <v>5</v>
      </c>
      <c r="Q189" s="13">
        <v>12305.2</v>
      </c>
      <c r="R189" s="13">
        <v>10969.1</v>
      </c>
      <c r="S189" s="23">
        <v>11637.1</v>
      </c>
      <c r="T189" s="41"/>
      <c r="U189" s="13">
        <v>20402</v>
      </c>
      <c r="V189" s="13">
        <v>20402</v>
      </c>
      <c r="W189" s="24">
        <v>20402</v>
      </c>
      <c r="X189" s="58" t="str">
        <f>HYPERLINK("https://drinc.ca.gov/DNN/Portals/0/SelfCert/99780102-334d-4a4f-8b5f-ce8f110909be.xlsx","WS1")</f>
        <v>WS1</v>
      </c>
      <c r="Y189" s="10"/>
      <c r="Z189" s="26" t="s">
        <v>13</v>
      </c>
      <c r="AA189" s="13">
        <v>-8764.9</v>
      </c>
      <c r="AB189" s="66">
        <v>0</v>
      </c>
      <c r="AC189" s="30" t="s">
        <v>14</v>
      </c>
      <c r="AD189" s="29"/>
      <c r="AE189" s="32"/>
      <c r="AF189" s="32"/>
      <c r="AG189" s="17"/>
      <c r="AH189" s="27"/>
      <c r="AI189" s="27"/>
      <c r="AJ189" s="11"/>
      <c r="AK189" s="58" t="str">
        <f>HYPERLINK("https://drinc.ca.gov/DNN/Portals/0/SelfCert/2b717c4d-c7a0-4524-9831-1e71e3ab041d.pdf","Cert")</f>
        <v>Cert</v>
      </c>
      <c r="AL189" s="58" t="str">
        <f>HYPERLINK("https://drinc.ca.gov/DNN/Portals/0/SelfCert/3e369e1d-8692-4733-83c7-24bf510bdb01.docx","Analysis")</f>
        <v>Analysis</v>
      </c>
    </row>
    <row r="190" spans="1:38" s="19" customFormat="1" ht="14.4" customHeight="1" x14ac:dyDescent="0.3">
      <c r="A190" s="12" t="s">
        <v>92</v>
      </c>
      <c r="B190" s="68" t="s">
        <v>16</v>
      </c>
      <c r="C190" s="73">
        <v>59034.416666666664</v>
      </c>
      <c r="D190" s="14">
        <v>9844.9</v>
      </c>
      <c r="E190" s="14">
        <v>10095</v>
      </c>
      <c r="F190" s="18">
        <v>0</v>
      </c>
      <c r="G190" s="68" t="s">
        <v>776</v>
      </c>
      <c r="H190" s="64">
        <v>0.2</v>
      </c>
      <c r="I190" s="64">
        <v>0.13</v>
      </c>
      <c r="J190" s="64">
        <v>0.22</v>
      </c>
      <c r="K190" s="71">
        <v>0.24263959390862944</v>
      </c>
      <c r="L190" s="65">
        <v>10178</v>
      </c>
      <c r="M190" s="65">
        <v>10178</v>
      </c>
      <c r="N190" s="13">
        <v>10269.9</v>
      </c>
      <c r="O190" s="13">
        <v>9419.9</v>
      </c>
      <c r="P190" s="30" t="s">
        <v>4</v>
      </c>
      <c r="Q190" s="13">
        <v>10269.9</v>
      </c>
      <c r="R190" s="13">
        <v>9419.9</v>
      </c>
      <c r="S190" s="23">
        <v>9844.9</v>
      </c>
      <c r="T190" s="41"/>
      <c r="U190" s="13">
        <v>10091</v>
      </c>
      <c r="V190" s="13">
        <v>10094</v>
      </c>
      <c r="W190" s="24">
        <v>10095</v>
      </c>
      <c r="X190" s="58" t="str">
        <f>HYPERLINK("http://drinc.ca.gov/DNN/Portals/0/SelfCert/15b9df84-2985-432d-8ada-8b2c0e30354b.xlsx","WS1")</f>
        <v>WS1</v>
      </c>
      <c r="Y190" s="10"/>
      <c r="Z190" s="26" t="s">
        <v>13</v>
      </c>
      <c r="AA190" s="13">
        <v>-250.1</v>
      </c>
      <c r="AB190" s="66">
        <v>0</v>
      </c>
      <c r="AC190" s="30" t="s">
        <v>18</v>
      </c>
      <c r="AD190" s="29" t="s">
        <v>93</v>
      </c>
      <c r="AE190" s="32"/>
      <c r="AF190" s="32"/>
      <c r="AG190" s="17"/>
      <c r="AH190" s="27"/>
      <c r="AI190" s="27"/>
      <c r="AJ190" s="11"/>
      <c r="AK190" s="58" t="str">
        <f>HYPERLINK("http://drinc.ca.gov/DNN/Portals/0/SelfCert/272638fe-ab81-4a5b-ad4a-1b90b74ad48a.pdf","Cert")</f>
        <v>Cert</v>
      </c>
      <c r="AL190" s="58" t="str">
        <f>HYPERLINK("http://drinc.ca.gov/DNN/Portals/0/SelfCert/d0c5c1fb-36f7-47d3-b4d3-9be8f8b80312.xlsx","Analysis")</f>
        <v>Analysis</v>
      </c>
    </row>
    <row r="191" spans="1:38" s="19" customFormat="1" ht="14.4" customHeight="1" x14ac:dyDescent="0.3">
      <c r="A191" s="12" t="s">
        <v>503</v>
      </c>
      <c r="B191" s="68" t="s">
        <v>27</v>
      </c>
      <c r="C191" s="73">
        <v>85572</v>
      </c>
      <c r="D191" s="14">
        <v>17192.5</v>
      </c>
      <c r="E191" s="14">
        <v>22556</v>
      </c>
      <c r="F191" s="18">
        <v>0</v>
      </c>
      <c r="G191" s="68" t="s">
        <v>776</v>
      </c>
      <c r="H191" s="64">
        <v>0.28000000000000003</v>
      </c>
      <c r="I191" s="64">
        <v>0.25</v>
      </c>
      <c r="J191" s="64">
        <v>0.27</v>
      </c>
      <c r="K191" s="71">
        <v>0.20089318185124305</v>
      </c>
      <c r="L191" s="65">
        <v>18367</v>
      </c>
      <c r="M191" s="65">
        <v>18367</v>
      </c>
      <c r="N191" s="13">
        <v>18172</v>
      </c>
      <c r="O191" s="13">
        <v>16213</v>
      </c>
      <c r="P191" s="30" t="s">
        <v>4</v>
      </c>
      <c r="Q191" s="13">
        <v>18172</v>
      </c>
      <c r="R191" s="13">
        <v>16213</v>
      </c>
      <c r="S191" s="23">
        <v>17192.5</v>
      </c>
      <c r="T191" s="41" t="s">
        <v>504</v>
      </c>
      <c r="U191" s="13">
        <v>29922</v>
      </c>
      <c r="V191" s="13">
        <v>24837</v>
      </c>
      <c r="W191" s="24">
        <v>22556</v>
      </c>
      <c r="X191" s="58" t="str">
        <f>HYPERLINK("http://drinc.ca.gov/DNN/Portals/0/SelfCert/11c1b5dc-3887-47c6-bbd1-d4938a1d26cb.xlsx","WS1")</f>
        <v>WS1</v>
      </c>
      <c r="Y191" s="10" t="s">
        <v>505</v>
      </c>
      <c r="Z191" s="26" t="s">
        <v>13</v>
      </c>
      <c r="AA191" s="13">
        <v>-5363.5</v>
      </c>
      <c r="AB191" s="66">
        <v>0</v>
      </c>
      <c r="AC191" s="30" t="s">
        <v>18</v>
      </c>
      <c r="AD191" s="29" t="s">
        <v>506</v>
      </c>
      <c r="AE191" s="32"/>
      <c r="AF191" s="32"/>
      <c r="AG191" s="17"/>
      <c r="AH191" s="27"/>
      <c r="AI191" s="27"/>
      <c r="AJ191" s="11"/>
      <c r="AK191" s="58" t="str">
        <f>HYPERLINK("http://drinc.ca.gov/DNN/Portals/0/SelfCert/6ade6a72-150d-4fa4-9162-8fd9b0375c04.pdf","Cert")</f>
        <v>Cert</v>
      </c>
      <c r="AL191" s="58" t="str">
        <f>HYPERLINK("http://drinc.ca.gov/DNN/Portals/0/SelfCert/b40982d1-dfc7-428a-9796-3fb864cc496c.docx","Analysis")</f>
        <v>Analysis</v>
      </c>
    </row>
    <row r="192" spans="1:38" s="19" customFormat="1" ht="14.4" customHeight="1" x14ac:dyDescent="0.3">
      <c r="A192" s="12" t="s">
        <v>62</v>
      </c>
      <c r="B192" s="68" t="s">
        <v>40</v>
      </c>
      <c r="C192" s="73">
        <v>16066</v>
      </c>
      <c r="D192" s="14">
        <v>3622.5</v>
      </c>
      <c r="E192" s="14">
        <v>3622.5</v>
      </c>
      <c r="F192" s="18">
        <v>0</v>
      </c>
      <c r="G192" s="68" t="s">
        <v>776</v>
      </c>
      <c r="H192" s="64">
        <v>0.16</v>
      </c>
      <c r="I192" s="64">
        <v>0.16</v>
      </c>
      <c r="J192" s="64">
        <v>0.41</v>
      </c>
      <c r="K192" s="71">
        <v>0.40603694631557452</v>
      </c>
      <c r="L192" s="65">
        <v>4125.1000000000004</v>
      </c>
      <c r="M192" s="65">
        <v>4125.1000000000004</v>
      </c>
      <c r="N192" s="13">
        <v>1343.9</v>
      </c>
      <c r="O192" s="13">
        <v>1016.9</v>
      </c>
      <c r="P192" s="30" t="s">
        <v>5</v>
      </c>
      <c r="Q192" s="13">
        <v>4124.3</v>
      </c>
      <c r="R192" s="13">
        <v>3120.7</v>
      </c>
      <c r="S192" s="23">
        <v>3622.5</v>
      </c>
      <c r="T192" s="41"/>
      <c r="U192" s="13">
        <v>3622.509</v>
      </c>
      <c r="V192" s="13">
        <v>3622.5</v>
      </c>
      <c r="W192" s="24">
        <v>3622.5</v>
      </c>
      <c r="X192" s="58" t="str">
        <f>HYPERLINK("http://drinc.ca.gov/DNN/Portals/0/SelfCert/69b21319-3a92-430f-af43-e44476dd7e49.xlsx","WS1")</f>
        <v>WS1</v>
      </c>
      <c r="Y192" s="10"/>
      <c r="Z192" s="26" t="s">
        <v>13</v>
      </c>
      <c r="AA192" s="13">
        <v>0</v>
      </c>
      <c r="AB192" s="15">
        <v>0</v>
      </c>
      <c r="AC192" s="30" t="s">
        <v>18</v>
      </c>
      <c r="AD192" s="29" t="s">
        <v>63</v>
      </c>
      <c r="AE192" s="32"/>
      <c r="AF192" s="32"/>
      <c r="AG192" s="17"/>
      <c r="AH192" s="27"/>
      <c r="AI192" s="27"/>
      <c r="AJ192" s="11"/>
      <c r="AK192" s="58" t="str">
        <f>HYPERLINK("http://drinc.ca.gov/DNN/Portals/0/SelfCert/6ec6d26b-9116-4628-9607-d90f98260394.pdf","Cert")</f>
        <v>Cert</v>
      </c>
      <c r="AL192" s="58" t="str">
        <f>HYPERLINK("http://drinc.ca.gov/DNN/Portals/0/SelfCert/ac4d4e55-77f4-4fb8-b2e6-b45adaaad877.docx","Analysis")</f>
        <v>Analysis</v>
      </c>
    </row>
    <row r="193" spans="1:38" s="19" customFormat="1" ht="14.4" customHeight="1" x14ac:dyDescent="0.3">
      <c r="A193" s="12" t="s">
        <v>196</v>
      </c>
      <c r="B193" s="68" t="s">
        <v>27</v>
      </c>
      <c r="C193" s="73">
        <v>21065.333333333332</v>
      </c>
      <c r="D193" s="14">
        <v>4047</v>
      </c>
      <c r="E193" s="14">
        <v>11801</v>
      </c>
      <c r="F193" s="18">
        <v>0</v>
      </c>
      <c r="G193" s="68" t="s">
        <v>776</v>
      </c>
      <c r="H193" s="64">
        <v>0.28000000000000003</v>
      </c>
      <c r="I193" s="64">
        <v>0.25</v>
      </c>
      <c r="J193" s="64">
        <v>0.33</v>
      </c>
      <c r="K193" s="71">
        <v>0.31213744801958143</v>
      </c>
      <c r="L193" s="65">
        <v>4235.3</v>
      </c>
      <c r="M193" s="65">
        <v>4235.3</v>
      </c>
      <c r="N193" s="13">
        <v>4235</v>
      </c>
      <c r="O193" s="13">
        <v>3859</v>
      </c>
      <c r="P193" s="30" t="s">
        <v>4</v>
      </c>
      <c r="Q193" s="13">
        <v>4235</v>
      </c>
      <c r="R193" s="13">
        <v>3859</v>
      </c>
      <c r="S193" s="23">
        <v>4047</v>
      </c>
      <c r="T193" s="41"/>
      <c r="U193" s="13">
        <v>11801</v>
      </c>
      <c r="V193" s="13">
        <v>11801</v>
      </c>
      <c r="W193" s="24">
        <v>11801</v>
      </c>
      <c r="X193" s="58" t="str">
        <f>HYPERLINK("http://drinc.ca.gov/DNN/Portals/0/SelfCert/5ea86987-0364-468e-ba02-91fc0e3a6bb8.xlsx","WS1")</f>
        <v>WS1</v>
      </c>
      <c r="Y193" s="10"/>
      <c r="Z193" s="26" t="s">
        <v>13</v>
      </c>
      <c r="AA193" s="13">
        <v>-7754</v>
      </c>
      <c r="AB193" s="66">
        <v>0</v>
      </c>
      <c r="AC193" s="30" t="s">
        <v>18</v>
      </c>
      <c r="AD193" s="29" t="s">
        <v>197</v>
      </c>
      <c r="AE193" s="32"/>
      <c r="AF193" s="32"/>
      <c r="AG193" s="17"/>
      <c r="AH193" s="27"/>
      <c r="AI193" s="27"/>
      <c r="AJ193" s="11" t="s">
        <v>198</v>
      </c>
      <c r="AK193" s="58" t="str">
        <f>HYPERLINK("http://drinc.ca.gov/DNN/Portals/0/SelfCert/b7a7595b-09d9-474f-b7fc-04883701a3ad.pdf","Cert")</f>
        <v>Cert</v>
      </c>
      <c r="AL193" s="58" t="str">
        <f>HYPERLINK("http://drinc.ca.gov/DNN/Portals/0/SelfCert/f2dda37f-eab3-458e-bb7d-5f1dd36003bb.pdf","Analysis")</f>
        <v>Analysis</v>
      </c>
    </row>
    <row r="194" spans="1:38" s="19" customFormat="1" ht="14.4" customHeight="1" x14ac:dyDescent="0.3">
      <c r="A194" s="12" t="s">
        <v>82</v>
      </c>
      <c r="B194" s="68" t="s">
        <v>16</v>
      </c>
      <c r="C194" s="73">
        <v>177020</v>
      </c>
      <c r="D194" s="14">
        <v>25988.6</v>
      </c>
      <c r="E194" s="14">
        <v>25908</v>
      </c>
      <c r="F194" s="18">
        <v>0</v>
      </c>
      <c r="G194" s="68" t="s">
        <v>776</v>
      </c>
      <c r="H194" s="64">
        <v>0.2</v>
      </c>
      <c r="I194" s="64">
        <v>0.2</v>
      </c>
      <c r="J194" s="64">
        <v>0.2</v>
      </c>
      <c r="K194" s="71">
        <v>0.2358820214164945</v>
      </c>
      <c r="L194" s="65">
        <v>26535.599999999999</v>
      </c>
      <c r="M194" s="65">
        <v>26535.599999999999</v>
      </c>
      <c r="N194" s="13">
        <v>26535.7</v>
      </c>
      <c r="O194" s="13">
        <v>25441.4</v>
      </c>
      <c r="P194" s="30" t="s">
        <v>4</v>
      </c>
      <c r="Q194" s="13">
        <v>26535.7</v>
      </c>
      <c r="R194" s="13">
        <v>25441.4</v>
      </c>
      <c r="S194" s="23">
        <v>25988.6</v>
      </c>
      <c r="T194" s="41"/>
      <c r="U194" s="13">
        <v>25899</v>
      </c>
      <c r="V194" s="13">
        <v>25907</v>
      </c>
      <c r="W194" s="24">
        <v>25908</v>
      </c>
      <c r="X194" s="58" t="str">
        <f>HYPERLINK("http://drinc.ca.gov/DNN/Portals/0/SelfCert/a13bc095-531d-48d4-9716-94b6a4a47cf6.xlsx","WS1")</f>
        <v>WS1</v>
      </c>
      <c r="Y194" s="10"/>
      <c r="Z194" s="26" t="s">
        <v>13</v>
      </c>
      <c r="AA194" s="13">
        <v>80.599999999999994</v>
      </c>
      <c r="AB194" s="15">
        <v>0</v>
      </c>
      <c r="AC194" s="30" t="s">
        <v>14</v>
      </c>
      <c r="AD194" s="29"/>
      <c r="AE194" s="32"/>
      <c r="AF194" s="32"/>
      <c r="AG194" s="17"/>
      <c r="AH194" s="27"/>
      <c r="AI194" s="27"/>
      <c r="AJ194" s="11"/>
      <c r="AK194" s="58" t="str">
        <f>HYPERLINK("http://drinc.ca.gov/DNN/Portals/0/SelfCert/1cc7fe5f-46ef-42e4-a35a-d63d386505e2.pdf","Cert")</f>
        <v>Cert</v>
      </c>
      <c r="AL194" s="58" t="str">
        <f>HYPERLINK("http://drinc.ca.gov/DNN/Portals/0/SelfCert/2edc8d65-6e45-4d12-9f8c-ce8a0fdbe016.xlsx","Analysis")</f>
        <v>Analysis</v>
      </c>
    </row>
    <row r="195" spans="1:38" s="19" customFormat="1" ht="14.4" customHeight="1" x14ac:dyDescent="0.3">
      <c r="A195" s="12" t="s">
        <v>664</v>
      </c>
      <c r="B195" s="68" t="s">
        <v>27</v>
      </c>
      <c r="C195" s="73">
        <v>83400</v>
      </c>
      <c r="D195" s="14">
        <v>26351.1</v>
      </c>
      <c r="E195" s="14">
        <v>36988</v>
      </c>
      <c r="F195" s="18">
        <v>0</v>
      </c>
      <c r="G195" s="68" t="s">
        <v>776</v>
      </c>
      <c r="H195" s="64">
        <v>0.36</v>
      </c>
      <c r="I195" s="64">
        <v>0.34</v>
      </c>
      <c r="J195" s="64">
        <v>0.38</v>
      </c>
      <c r="K195" s="71">
        <v>0.36822171848617991</v>
      </c>
      <c r="L195" s="65">
        <v>27468.6</v>
      </c>
      <c r="M195" s="65">
        <v>27468.6</v>
      </c>
      <c r="N195" s="13">
        <v>8950.7000000000007</v>
      </c>
      <c r="O195" s="13">
        <v>8222.4</v>
      </c>
      <c r="P195" s="30" t="s">
        <v>5</v>
      </c>
      <c r="Q195" s="13">
        <v>27468.6</v>
      </c>
      <c r="R195" s="13">
        <v>25233.599999999999</v>
      </c>
      <c r="S195" s="23">
        <v>26351.1</v>
      </c>
      <c r="T195" s="41" t="s">
        <v>665</v>
      </c>
      <c r="U195" s="13">
        <v>36988</v>
      </c>
      <c r="V195" s="13">
        <v>36988</v>
      </c>
      <c r="W195" s="24">
        <v>36988</v>
      </c>
      <c r="X195" s="58" t="str">
        <f>HYPERLINK("http://drinc.ca.gov/DNN/Portals/0/SelfCert/01dc4b6b-de78-47d0-a1e1-b15b729cb8b6.xlsx","WS1")</f>
        <v>WS1</v>
      </c>
      <c r="Y195" s="10" t="s">
        <v>665</v>
      </c>
      <c r="Z195" s="26" t="s">
        <v>13</v>
      </c>
      <c r="AA195" s="13">
        <v>-10636.9</v>
      </c>
      <c r="AB195" s="66">
        <v>0</v>
      </c>
      <c r="AC195" s="30" t="s">
        <v>18</v>
      </c>
      <c r="AD195" s="29" t="s">
        <v>666</v>
      </c>
      <c r="AE195" s="32"/>
      <c r="AF195" s="32"/>
      <c r="AG195" s="17"/>
      <c r="AH195" s="27"/>
      <c r="AI195" s="27"/>
      <c r="AJ195" s="11"/>
      <c r="AK195" s="58" t="str">
        <f>HYPERLINK("http://drinc.ca.gov/DNN/Portals/0/SelfCert/21a1891c-77f1-4e5c-b35d-a37c15d8bd70.pdf","Cert")</f>
        <v>Cert</v>
      </c>
      <c r="AL195" s="58" t="str">
        <f>HYPERLINK("http://drinc.ca.gov/DNN/Portals/0/SelfCert/f4cdee33-f2d3-47ff-a04b-cb013a580bd8.xlsx","Analysis")</f>
        <v>Analysis</v>
      </c>
    </row>
    <row r="196" spans="1:38" s="19" customFormat="1" ht="14.4" customHeight="1" x14ac:dyDescent="0.3">
      <c r="A196" s="12" t="s">
        <v>473</v>
      </c>
      <c r="B196" s="68" t="s">
        <v>16</v>
      </c>
      <c r="C196" s="73">
        <v>209035</v>
      </c>
      <c r="D196" s="14">
        <v>43706</v>
      </c>
      <c r="E196" s="14">
        <v>43706</v>
      </c>
      <c r="F196" s="18">
        <v>0</v>
      </c>
      <c r="G196" s="68" t="s">
        <v>776</v>
      </c>
      <c r="H196" s="64">
        <v>0.28000000000000003</v>
      </c>
      <c r="I196" s="64">
        <v>0.26</v>
      </c>
      <c r="J196" s="64">
        <v>0.27</v>
      </c>
      <c r="K196" s="71">
        <v>0.22631697942572915</v>
      </c>
      <c r="L196" s="65">
        <v>44246</v>
      </c>
      <c r="M196" s="65">
        <v>44246</v>
      </c>
      <c r="N196" s="13">
        <v>44246</v>
      </c>
      <c r="O196" s="13">
        <v>43166</v>
      </c>
      <c r="P196" s="30" t="s">
        <v>4</v>
      </c>
      <c r="Q196" s="13">
        <v>44246</v>
      </c>
      <c r="R196" s="13">
        <v>43166</v>
      </c>
      <c r="S196" s="23">
        <v>43706</v>
      </c>
      <c r="T196" s="41"/>
      <c r="U196" s="13">
        <v>43706</v>
      </c>
      <c r="V196" s="13">
        <v>43706</v>
      </c>
      <c r="W196" s="24">
        <v>43706</v>
      </c>
      <c r="X196" s="58" t="str">
        <f>HYPERLINK("https://drinc.ca.gov/DNN/Portals/0/SelfCert/3f8274fa-d1ff-4578-990f-b31d745b3e46.xlsx","WS1")</f>
        <v>WS1</v>
      </c>
      <c r="Y196" s="10"/>
      <c r="Z196" s="26" t="s">
        <v>13</v>
      </c>
      <c r="AA196" s="13">
        <v>0</v>
      </c>
      <c r="AB196" s="15">
        <v>0</v>
      </c>
      <c r="AC196" s="30" t="s">
        <v>18</v>
      </c>
      <c r="AD196" s="29" t="s">
        <v>474</v>
      </c>
      <c r="AE196" s="32"/>
      <c r="AF196" s="32"/>
      <c r="AG196" s="17"/>
      <c r="AH196" s="27"/>
      <c r="AI196" s="27"/>
      <c r="AJ196" s="11"/>
      <c r="AK196" s="58" t="str">
        <f>HYPERLINK("https://drinc.ca.gov/DNN/Portals/0/SelfCert/43b3c6db-1bda-4c97-8b11-55522d43a9d8.pdf","Cert")</f>
        <v>Cert</v>
      </c>
      <c r="AL196" s="58" t="str">
        <f>HYPERLINK("https://drinc.ca.gov/DNN/Portals/0/SelfCert/7a389894-a98e-46c4-9bec-a1fdda8bf3df.docx","Analysis")</f>
        <v>Analysis</v>
      </c>
    </row>
    <row r="197" spans="1:38" s="19" customFormat="1" ht="14.4" customHeight="1" x14ac:dyDescent="0.3">
      <c r="A197" s="12" t="s">
        <v>642</v>
      </c>
      <c r="B197" s="68" t="s">
        <v>11</v>
      </c>
      <c r="C197" s="73">
        <v>91939.333333333328</v>
      </c>
      <c r="D197" s="14">
        <v>14959</v>
      </c>
      <c r="E197" s="14">
        <v>14959</v>
      </c>
      <c r="F197" s="18">
        <v>0</v>
      </c>
      <c r="G197" s="68" t="s">
        <v>776</v>
      </c>
      <c r="H197" s="64">
        <v>0.32</v>
      </c>
      <c r="I197" s="64">
        <v>0.28000000000000003</v>
      </c>
      <c r="J197" s="64">
        <v>0.17</v>
      </c>
      <c r="K197" s="71">
        <v>0.21528948847667229</v>
      </c>
      <c r="L197" s="65">
        <v>14991</v>
      </c>
      <c r="M197" s="65">
        <v>14991</v>
      </c>
      <c r="N197" s="13">
        <v>15491</v>
      </c>
      <c r="O197" s="13">
        <v>14427</v>
      </c>
      <c r="P197" s="30" t="s">
        <v>4</v>
      </c>
      <c r="Q197" s="13">
        <v>15491</v>
      </c>
      <c r="R197" s="13">
        <v>14427</v>
      </c>
      <c r="S197" s="23">
        <v>14959</v>
      </c>
      <c r="T197" s="41"/>
      <c r="U197" s="13">
        <v>14959</v>
      </c>
      <c r="V197" s="13">
        <v>14959</v>
      </c>
      <c r="W197" s="24">
        <v>14959</v>
      </c>
      <c r="X197" s="58" t="str">
        <f>HYPERLINK("https://drinc.ca.gov/DNN/Portals/0/SelfCert/a8a57faf-f961-4879-a4c0-e936abc1cc29.xlsx","WS1")</f>
        <v>WS1</v>
      </c>
      <c r="Y197" s="10"/>
      <c r="Z197" s="26" t="s">
        <v>13</v>
      </c>
      <c r="AA197" s="13">
        <v>0</v>
      </c>
      <c r="AB197" s="15">
        <v>0</v>
      </c>
      <c r="AC197" s="30" t="s">
        <v>14</v>
      </c>
      <c r="AD197" s="29"/>
      <c r="AE197" s="32"/>
      <c r="AF197" s="32"/>
      <c r="AG197" s="17"/>
      <c r="AH197" s="27"/>
      <c r="AI197" s="27"/>
      <c r="AJ197" s="11"/>
      <c r="AK197" s="58" t="str">
        <f>HYPERLINK("https://drinc.ca.gov/DNN/Portals/0/SelfCert/bd4bf77f-e9dd-4c0e-9da3-43450568dcaa.pdf","Cert")</f>
        <v>Cert</v>
      </c>
      <c r="AL197" s="58" t="str">
        <f>HYPERLINK("https://drinc.ca.gov/DNN/Portals/0/SelfCert/a4de394c-8b4e-4070-ba8d-d44c6daa0580.xlsx","Analysis")</f>
        <v>Analysis</v>
      </c>
    </row>
    <row r="198" spans="1:38" s="19" customFormat="1" ht="14.4" customHeight="1" x14ac:dyDescent="0.3">
      <c r="A198" s="12" t="s">
        <v>501</v>
      </c>
      <c r="B198" s="68" t="s">
        <v>16</v>
      </c>
      <c r="C198" s="73">
        <v>172068</v>
      </c>
      <c r="D198" s="14">
        <v>28770.5</v>
      </c>
      <c r="E198" s="14">
        <v>28770.5</v>
      </c>
      <c r="F198" s="18">
        <v>0</v>
      </c>
      <c r="G198" s="68" t="s">
        <v>776</v>
      </c>
      <c r="H198" s="64">
        <v>0.2</v>
      </c>
      <c r="I198" s="64">
        <v>0.2</v>
      </c>
      <c r="J198" s="64">
        <v>0.2</v>
      </c>
      <c r="K198" s="71">
        <v>0.19524262876436482</v>
      </c>
      <c r="L198" s="65">
        <v>29093.9</v>
      </c>
      <c r="M198" s="65">
        <v>29093.9</v>
      </c>
      <c r="N198" s="13">
        <v>29093</v>
      </c>
      <c r="O198" s="13">
        <v>28448</v>
      </c>
      <c r="P198" s="30" t="s">
        <v>4</v>
      </c>
      <c r="Q198" s="13">
        <v>29093</v>
      </c>
      <c r="R198" s="13">
        <v>28448</v>
      </c>
      <c r="S198" s="23">
        <v>28770.5</v>
      </c>
      <c r="T198" s="41" t="s">
        <v>319</v>
      </c>
      <c r="U198" s="13">
        <v>28770.5</v>
      </c>
      <c r="V198" s="13">
        <v>28770.5</v>
      </c>
      <c r="W198" s="24">
        <v>28770.5</v>
      </c>
      <c r="X198" s="58" t="str">
        <f>HYPERLINK("http://drinc.ca.gov/DNN/Portals/0/SelfCert/ce187c31-fec7-49bf-8718-8a1af4b114b8.xlsx","WS1")</f>
        <v>WS1</v>
      </c>
      <c r="Y198" s="10" t="s">
        <v>502</v>
      </c>
      <c r="Z198" s="26" t="s">
        <v>13</v>
      </c>
      <c r="AA198" s="13">
        <v>0</v>
      </c>
      <c r="AB198" s="15">
        <v>0</v>
      </c>
      <c r="AC198" s="30" t="s">
        <v>18</v>
      </c>
      <c r="AD198" s="29" t="s">
        <v>747</v>
      </c>
      <c r="AE198" s="32"/>
      <c r="AF198" s="32"/>
      <c r="AG198" s="17"/>
      <c r="AH198" s="27"/>
      <c r="AI198" s="27"/>
      <c r="AJ198" s="11"/>
      <c r="AK198" s="58" t="str">
        <f>HYPERLINK("http://drinc.ca.gov/DNN/Portals/0/SelfCert/147c9220-138c-4156-a039-00f2fd288427.pdf","Cert")</f>
        <v>Cert</v>
      </c>
      <c r="AL198" s="58" t="str">
        <f>HYPERLINK("http://drinc.ca.gov/DNN/Portals/0/SelfCert/2ef71d66-2544-437f-a813-cb6af6272663.pdf","Analysis")</f>
        <v>Analysis</v>
      </c>
    </row>
    <row r="199" spans="1:38" s="19" customFormat="1" ht="14.4" customHeight="1" x14ac:dyDescent="0.3">
      <c r="A199" s="12" t="s">
        <v>137</v>
      </c>
      <c r="B199" s="68" t="s">
        <v>16</v>
      </c>
      <c r="C199" s="73">
        <v>196720</v>
      </c>
      <c r="D199" s="14">
        <v>25704</v>
      </c>
      <c r="E199" s="14">
        <v>27610</v>
      </c>
      <c r="F199" s="18">
        <v>0</v>
      </c>
      <c r="G199" s="68" t="s">
        <v>776</v>
      </c>
      <c r="H199" s="64">
        <v>0.12</v>
      </c>
      <c r="I199" s="64">
        <v>0.12</v>
      </c>
      <c r="J199" s="64">
        <v>0.17</v>
      </c>
      <c r="K199" s="71">
        <v>0.14482129817526068</v>
      </c>
      <c r="L199" s="65">
        <v>26892.1</v>
      </c>
      <c r="M199" s="65">
        <v>26892.1</v>
      </c>
      <c r="N199" s="13">
        <v>27516</v>
      </c>
      <c r="O199" s="13">
        <v>23892</v>
      </c>
      <c r="P199" s="30" t="s">
        <v>4</v>
      </c>
      <c r="Q199" s="13">
        <v>27516</v>
      </c>
      <c r="R199" s="13">
        <v>23892</v>
      </c>
      <c r="S199" s="23">
        <v>25704</v>
      </c>
      <c r="T199" s="41"/>
      <c r="U199" s="13">
        <v>27516</v>
      </c>
      <c r="V199" s="13">
        <v>23892</v>
      </c>
      <c r="W199" s="24">
        <v>27610</v>
      </c>
      <c r="X199" s="58" t="str">
        <f>HYPERLINK("http://drinc.ca.gov/DNN/Portals/0/SelfCert/3240e906-cf6d-475f-8d67-88cdfecaa669.xlsx","WS1")</f>
        <v>WS1</v>
      </c>
      <c r="Y199" s="10"/>
      <c r="Z199" s="26" t="s">
        <v>13</v>
      </c>
      <c r="AA199" s="13">
        <v>-1906</v>
      </c>
      <c r="AB199" s="66">
        <v>0</v>
      </c>
      <c r="AC199" s="30" t="s">
        <v>14</v>
      </c>
      <c r="AD199" s="29"/>
      <c r="AE199" s="32"/>
      <c r="AF199" s="32"/>
      <c r="AG199" s="17"/>
      <c r="AH199" s="27"/>
      <c r="AI199" s="27"/>
      <c r="AJ199" s="11"/>
      <c r="AK199" s="58" t="str">
        <f>HYPERLINK("http://drinc.ca.gov/DNN/Portals/0/SelfCert/f51e4a85-7cfd-4640-8985-646c9b888b00.pdf","Cert")</f>
        <v>Cert</v>
      </c>
      <c r="AL199" s="58" t="str">
        <f>HYPERLINK("http://drinc.ca.gov/DNN/Portals/0/SelfCert/418cdd4b-2e77-43c9-a4c8-27c83d51001f.docx","Analysis")</f>
        <v>Analysis</v>
      </c>
    </row>
    <row r="200" spans="1:38" s="19" customFormat="1" ht="14.4" customHeight="1" x14ac:dyDescent="0.3">
      <c r="A200" s="12" t="s">
        <v>191</v>
      </c>
      <c r="B200" s="68" t="s">
        <v>16</v>
      </c>
      <c r="C200" s="73">
        <v>63118</v>
      </c>
      <c r="D200" s="14">
        <v>10081.5</v>
      </c>
      <c r="E200" s="14">
        <v>10022</v>
      </c>
      <c r="F200" s="18">
        <v>0</v>
      </c>
      <c r="G200" s="68" t="s">
        <v>798</v>
      </c>
      <c r="H200" s="64">
        <v>0.28000000000000003</v>
      </c>
      <c r="I200" s="64">
        <v>0.28000000000000003</v>
      </c>
      <c r="J200" s="64">
        <v>0.2</v>
      </c>
      <c r="K200" s="71">
        <v>8.392038349312203E-2</v>
      </c>
      <c r="L200" s="65">
        <v>9725</v>
      </c>
      <c r="M200" s="65">
        <v>9725</v>
      </c>
      <c r="N200" s="13">
        <v>9725</v>
      </c>
      <c r="O200" s="13">
        <v>10437.9</v>
      </c>
      <c r="P200" s="30" t="s">
        <v>4</v>
      </c>
      <c r="Q200" s="13">
        <v>9725</v>
      </c>
      <c r="R200" s="13">
        <v>10437.9</v>
      </c>
      <c r="S200" s="23">
        <v>10081.5</v>
      </c>
      <c r="T200" s="41"/>
      <c r="U200" s="13">
        <v>10832</v>
      </c>
      <c r="V200" s="13">
        <v>10162</v>
      </c>
      <c r="W200" s="24">
        <v>10106</v>
      </c>
      <c r="X200" s="58" t="str">
        <f>HYPERLINK("https://drinc.ca.gov/DNN/Portals/0/SelfCert/161ce4a3-3826-40c8-85e2-8b6478e39e4f.xlsx","WS1")</f>
        <v>WS1</v>
      </c>
      <c r="Y200" s="10"/>
      <c r="Z200" s="26" t="s">
        <v>13</v>
      </c>
      <c r="AA200" s="13">
        <v>-24.5</v>
      </c>
      <c r="AB200" s="15">
        <v>0</v>
      </c>
      <c r="AC200" s="30" t="s">
        <v>18</v>
      </c>
      <c r="AD200" s="29" t="s">
        <v>192</v>
      </c>
      <c r="AE200" s="32"/>
      <c r="AF200" s="32"/>
      <c r="AG200" s="17"/>
      <c r="AH200" s="27"/>
      <c r="AI200" s="27"/>
      <c r="AJ200" s="11"/>
      <c r="AK200" s="58" t="str">
        <f>HYPERLINK("https://drinc.ca.gov/DNN/Portals/0/SelfCert/d80b607a-2b59-48dd-a053-b3ef53548bff.pdf","Cert")</f>
        <v>Cert</v>
      </c>
      <c r="AL200" s="58" t="str">
        <f>HYPERLINK("https://drinc.ca.gov/DNN/Portals/0/SelfCert/5a54a254-44ca-4342-970b-72aa4579809f.docx","Analysis")</f>
        <v>Analysis</v>
      </c>
    </row>
    <row r="201" spans="1:38" s="19" customFormat="1" ht="14.4" customHeight="1" x14ac:dyDescent="0.3">
      <c r="A201" s="12" t="s">
        <v>692</v>
      </c>
      <c r="B201" s="68" t="s">
        <v>11</v>
      </c>
      <c r="C201" s="73">
        <v>25650.166666666668</v>
      </c>
      <c r="D201" s="14">
        <v>1590</v>
      </c>
      <c r="E201" s="14">
        <v>1778</v>
      </c>
      <c r="F201" s="18">
        <v>0</v>
      </c>
      <c r="G201" s="69" t="s">
        <v>803</v>
      </c>
      <c r="H201" s="64">
        <v>0.16</v>
      </c>
      <c r="I201" s="64">
        <v>0.13</v>
      </c>
      <c r="J201" s="64">
        <v>0.28000000000000003</v>
      </c>
      <c r="K201" s="71">
        <v>0.19569398189408505</v>
      </c>
      <c r="L201" s="65">
        <v>1715.6</v>
      </c>
      <c r="M201" s="65">
        <v>1715.6</v>
      </c>
      <c r="N201" s="13">
        <v>1715.6</v>
      </c>
      <c r="O201" s="13">
        <v>1464.3</v>
      </c>
      <c r="P201" s="30" t="s">
        <v>4</v>
      </c>
      <c r="Q201" s="13">
        <v>1715.6</v>
      </c>
      <c r="R201" s="13">
        <v>1464.3</v>
      </c>
      <c r="S201" s="23">
        <v>1590</v>
      </c>
      <c r="T201" s="41"/>
      <c r="U201" s="13">
        <v>1778</v>
      </c>
      <c r="V201" s="13">
        <v>1778</v>
      </c>
      <c r="W201" s="24">
        <v>1778</v>
      </c>
      <c r="X201" s="58" t="str">
        <f>HYPERLINK("https://drinc.ca.gov/DNN/Portals/0/SelfCert/0b12ba6d-c5a1-497e-b3ef-a7f3613d9d84.xlsx","WS1")</f>
        <v>WS1</v>
      </c>
      <c r="Y201" s="10"/>
      <c r="Z201" s="26" t="s">
        <v>13</v>
      </c>
      <c r="AA201" s="13">
        <v>-188.1</v>
      </c>
      <c r="AB201" s="66">
        <v>0</v>
      </c>
      <c r="AC201" s="30" t="s">
        <v>18</v>
      </c>
      <c r="AD201" s="29"/>
      <c r="AE201" s="32"/>
      <c r="AF201" s="32"/>
      <c r="AG201" s="17"/>
      <c r="AH201" s="27"/>
      <c r="AI201" s="27"/>
      <c r="AJ201" s="11"/>
      <c r="AK201" s="58" t="str">
        <f>HYPERLINK("https://drinc.ca.gov/DNN/Portals/0/SelfCert/00fc420a-6af2-4072-bfb9-b96267f5393c.pdf","Cert")</f>
        <v>Cert</v>
      </c>
      <c r="AL201" s="58"/>
    </row>
    <row r="202" spans="1:38" s="19" customFormat="1" ht="14.4" customHeight="1" x14ac:dyDescent="0.3">
      <c r="A202" s="12" t="s">
        <v>606</v>
      </c>
      <c r="B202" s="68" t="s">
        <v>16</v>
      </c>
      <c r="C202" s="73">
        <v>25649</v>
      </c>
      <c r="D202" s="14">
        <v>2320</v>
      </c>
      <c r="E202" s="14">
        <v>9075.7000000000007</v>
      </c>
      <c r="F202" s="18">
        <v>0</v>
      </c>
      <c r="G202" s="68" t="s">
        <v>776</v>
      </c>
      <c r="H202" s="64">
        <v>0.16</v>
      </c>
      <c r="I202" s="64">
        <v>0.13</v>
      </c>
      <c r="J202" s="64">
        <v>0.14000000000000001</v>
      </c>
      <c r="K202" s="71">
        <v>0.17028493894165531</v>
      </c>
      <c r="L202" s="65">
        <v>2424.6999999999998</v>
      </c>
      <c r="M202" s="65">
        <v>2424.6999999999998</v>
      </c>
      <c r="N202" s="13">
        <v>2424</v>
      </c>
      <c r="O202" s="13">
        <v>2216</v>
      </c>
      <c r="P202" s="30" t="s">
        <v>4</v>
      </c>
      <c r="Q202" s="13">
        <v>2424</v>
      </c>
      <c r="R202" s="13">
        <v>2216</v>
      </c>
      <c r="S202" s="23">
        <v>2320</v>
      </c>
      <c r="T202" s="41"/>
      <c r="U202" s="13">
        <v>9075.7000000000007</v>
      </c>
      <c r="V202" s="13">
        <v>9075.7000000000007</v>
      </c>
      <c r="W202" s="24">
        <v>9075.7000000000007</v>
      </c>
      <c r="X202" s="58" t="str">
        <f>HYPERLINK("http://drinc.ca.gov/DNN/Portals/0/SelfCert/8b36d9fd-d13c-4761-a3aa-61c22cb0bc77.xlsx","WS1")</f>
        <v>WS1</v>
      </c>
      <c r="Y202" s="10" t="s">
        <v>763</v>
      </c>
      <c r="Z202" s="26" t="s">
        <v>13</v>
      </c>
      <c r="AA202" s="13">
        <v>-6755.7</v>
      </c>
      <c r="AB202" s="66">
        <v>0</v>
      </c>
      <c r="AC202" s="30" t="s">
        <v>14</v>
      </c>
      <c r="AD202" s="29" t="s">
        <v>764</v>
      </c>
      <c r="AE202" s="32"/>
      <c r="AF202" s="32"/>
      <c r="AG202" s="17"/>
      <c r="AH202" s="27"/>
      <c r="AI202" s="27"/>
      <c r="AJ202" s="11"/>
      <c r="AK202" s="58" t="str">
        <f>HYPERLINK("http://drinc.ca.gov/DNN/Portals/0/SelfCert/ffaee874-f6ae-4bc4-b149-4df4c7085b8e.pdf","Cert")</f>
        <v>Cert</v>
      </c>
      <c r="AL202" s="58" t="str">
        <f>HYPERLINK("http://drinc.ca.gov/DNN/Portals/0/SelfCert/b0584c56-b815-46b7-b177-3d7e9e9da744.xlsx","Analysis")</f>
        <v>Analysis</v>
      </c>
    </row>
    <row r="203" spans="1:38" s="19" customFormat="1" ht="14.4" customHeight="1" x14ac:dyDescent="0.3">
      <c r="A203" s="12" t="s">
        <v>91</v>
      </c>
      <c r="B203" s="68" t="s">
        <v>16</v>
      </c>
      <c r="C203" s="73">
        <v>49041</v>
      </c>
      <c r="D203" s="14">
        <v>9256.5</v>
      </c>
      <c r="E203" s="14">
        <v>12986</v>
      </c>
      <c r="F203" s="18">
        <v>0</v>
      </c>
      <c r="G203" s="68" t="s">
        <v>776</v>
      </c>
      <c r="H203" s="64">
        <v>0.28000000000000003</v>
      </c>
      <c r="I203" s="64">
        <v>0.21</v>
      </c>
      <c r="J203" s="64">
        <v>0.21</v>
      </c>
      <c r="K203" s="71">
        <v>0.18003998076874406</v>
      </c>
      <c r="L203" s="65">
        <v>8625.1</v>
      </c>
      <c r="M203" s="65">
        <v>8625.1</v>
      </c>
      <c r="N203" s="13">
        <v>9316</v>
      </c>
      <c r="O203" s="13">
        <v>9197</v>
      </c>
      <c r="P203" s="30" t="s">
        <v>4</v>
      </c>
      <c r="Q203" s="13">
        <v>9316</v>
      </c>
      <c r="R203" s="13">
        <v>9197</v>
      </c>
      <c r="S203" s="23">
        <v>9256.5</v>
      </c>
      <c r="T203" s="41"/>
      <c r="U203" s="13">
        <v>11215</v>
      </c>
      <c r="V203" s="13">
        <v>12986</v>
      </c>
      <c r="W203" s="24">
        <v>12986</v>
      </c>
      <c r="X203" s="58" t="str">
        <f>HYPERLINK("http://drinc.ca.gov/DNN/Portals/0/SelfCert/070de234-0863-44b7-8742-969745b63bd5.xls","WS1")</f>
        <v>WS1</v>
      </c>
      <c r="Y203" s="10"/>
      <c r="Z203" s="26" t="s">
        <v>13</v>
      </c>
      <c r="AA203" s="13">
        <v>-3729.5</v>
      </c>
      <c r="AB203" s="66">
        <v>0</v>
      </c>
      <c r="AC203" s="30" t="s">
        <v>14</v>
      </c>
      <c r="AD203" s="29"/>
      <c r="AE203" s="32"/>
      <c r="AF203" s="32"/>
      <c r="AG203" s="17"/>
      <c r="AH203" s="27"/>
      <c r="AI203" s="27"/>
      <c r="AJ203" s="11"/>
      <c r="AK203" s="58" t="str">
        <f>HYPERLINK("http://drinc.ca.gov/DNN/Portals/0/SelfCert/7ecd4e39-55f6-41ed-abf8-61d0798dd3b3.pdf","Cert")</f>
        <v>Cert</v>
      </c>
      <c r="AL203" s="58" t="str">
        <f>HYPERLINK("http://drinc.ca.gov/DNN/Portals/0/SelfCert/088b5a2f-6cd0-4250-8dff-ca6dc778c321.xlsx","Analysis")</f>
        <v>Analysis</v>
      </c>
    </row>
    <row r="204" spans="1:38" s="19" customFormat="1" ht="14.4" customHeight="1" x14ac:dyDescent="0.3">
      <c r="A204" s="12" t="s">
        <v>163</v>
      </c>
      <c r="B204" s="68" t="s">
        <v>46</v>
      </c>
      <c r="C204" s="73">
        <v>520183.5</v>
      </c>
      <c r="D204" s="14">
        <v>138513</v>
      </c>
      <c r="E204" s="14">
        <v>177000</v>
      </c>
      <c r="F204" s="18">
        <v>0</v>
      </c>
      <c r="G204" s="68" t="s">
        <v>776</v>
      </c>
      <c r="H204" s="64">
        <v>0.28000000000000003</v>
      </c>
      <c r="I204" s="64">
        <v>0.25</v>
      </c>
      <c r="J204" s="64">
        <v>0.27</v>
      </c>
      <c r="K204" s="71">
        <v>0.29065221545769748</v>
      </c>
      <c r="L204" s="65">
        <v>146598.20000000001</v>
      </c>
      <c r="M204" s="65">
        <v>146598.20000000001</v>
      </c>
      <c r="N204" s="13">
        <v>146598</v>
      </c>
      <c r="O204" s="13">
        <v>130428</v>
      </c>
      <c r="P204" s="30" t="s">
        <v>4</v>
      </c>
      <c r="Q204" s="13">
        <v>146598</v>
      </c>
      <c r="R204" s="13">
        <v>130428</v>
      </c>
      <c r="S204" s="23">
        <v>138513</v>
      </c>
      <c r="T204" s="41"/>
      <c r="U204" s="13">
        <v>246700</v>
      </c>
      <c r="V204" s="13">
        <v>196400</v>
      </c>
      <c r="W204" s="24">
        <v>177000</v>
      </c>
      <c r="X204" s="58" t="str">
        <f>HYPERLINK("http://drinc.ca.gov/DNN/Portals/0/SelfCert/786494c5-d74f-4537-bea8-6b5e51e6718d.xlsx","WS1")</f>
        <v>WS1</v>
      </c>
      <c r="Y204" s="10"/>
      <c r="Z204" s="26" t="s">
        <v>13</v>
      </c>
      <c r="AA204" s="13">
        <v>-38487</v>
      </c>
      <c r="AB204" s="66">
        <v>0</v>
      </c>
      <c r="AC204" s="30" t="s">
        <v>14</v>
      </c>
      <c r="AD204" s="29"/>
      <c r="AE204" s="32"/>
      <c r="AF204" s="32"/>
      <c r="AG204" s="17"/>
      <c r="AH204" s="27"/>
      <c r="AI204" s="27"/>
      <c r="AJ204" s="11"/>
      <c r="AK204" s="58" t="str">
        <f>HYPERLINK("http://drinc.ca.gov/DNN/Portals/0/SelfCert/581cbe91-9f41-4ac1-a38d-299675ce668e.pdf","Cert")</f>
        <v>Cert</v>
      </c>
      <c r="AL204" s="58" t="str">
        <f>HYPERLINK("http://drinc.ca.gov/DNN/Portals/0/SelfCert/cfb7914b-5bb1-4568-b4ec-9180e7f59158.docx","Analysis")</f>
        <v>Analysis</v>
      </c>
    </row>
    <row r="205" spans="1:38" s="19" customFormat="1" ht="14.4" customHeight="1" x14ac:dyDescent="0.3">
      <c r="A205" s="12" t="s">
        <v>297</v>
      </c>
      <c r="B205" s="68" t="s">
        <v>38</v>
      </c>
      <c r="C205" s="73">
        <v>20612.666666666668</v>
      </c>
      <c r="D205" s="14">
        <v>3358.9</v>
      </c>
      <c r="E205" s="14">
        <v>6626</v>
      </c>
      <c r="F205" s="18">
        <v>0</v>
      </c>
      <c r="G205" s="68" t="s">
        <v>776</v>
      </c>
      <c r="H205" s="64">
        <v>0.2</v>
      </c>
      <c r="I205" s="64">
        <v>0.2</v>
      </c>
      <c r="J205" s="64">
        <v>0.21</v>
      </c>
      <c r="K205" s="71">
        <v>0.23491599092917537</v>
      </c>
      <c r="L205" s="65">
        <v>3342.2</v>
      </c>
      <c r="M205" s="65">
        <v>3342.2</v>
      </c>
      <c r="N205" s="13">
        <v>1089</v>
      </c>
      <c r="O205" s="13">
        <v>1100</v>
      </c>
      <c r="P205" s="30" t="s">
        <v>5</v>
      </c>
      <c r="Q205" s="13">
        <v>3342</v>
      </c>
      <c r="R205" s="13">
        <v>3375.8</v>
      </c>
      <c r="S205" s="23">
        <v>3358.9</v>
      </c>
      <c r="T205" s="41"/>
      <c r="U205" s="13">
        <v>6510</v>
      </c>
      <c r="V205" s="13">
        <v>7146</v>
      </c>
      <c r="W205" s="24">
        <v>6626</v>
      </c>
      <c r="X205" s="58" t="str">
        <f>HYPERLINK("http://drinc.ca.gov/DNN/Portals/0/SelfCert/3f99076a-3102-4fd6-9acd-8e98e9374b52.xlsx","WS1")</f>
        <v>WS1</v>
      </c>
      <c r="Y205" s="10"/>
      <c r="Z205" s="26" t="s">
        <v>13</v>
      </c>
      <c r="AA205" s="13">
        <v>-3267.1</v>
      </c>
      <c r="AB205" s="66">
        <v>0</v>
      </c>
      <c r="AC205" s="30"/>
      <c r="AD205" s="29"/>
      <c r="AE205" s="32"/>
      <c r="AF205" s="32"/>
      <c r="AG205" s="17"/>
      <c r="AH205" s="27"/>
      <c r="AI205" s="27"/>
      <c r="AJ205" s="11"/>
      <c r="AK205" s="58" t="str">
        <f>HYPERLINK("http://drinc.ca.gov/DNN/Portals/0/SelfCert/490b0ed8-474c-460f-9977-02db94df378e.pdf","Cert")</f>
        <v>Cert</v>
      </c>
      <c r="AL205" s="58" t="str">
        <f>HYPERLINK("http://drinc.ca.gov/DNN/Portals/0/SelfCert/a3b5ed5a-662e-4411-b1eb-59b40ae1c94c.xls","Analysis")</f>
        <v>Analysis</v>
      </c>
    </row>
    <row r="206" spans="1:38" s="19" customFormat="1" ht="14.4" customHeight="1" x14ac:dyDescent="0.3">
      <c r="A206" s="12" t="s">
        <v>295</v>
      </c>
      <c r="B206" s="68" t="s">
        <v>38</v>
      </c>
      <c r="C206" s="73">
        <v>19324.5</v>
      </c>
      <c r="D206" s="14">
        <v>2570</v>
      </c>
      <c r="E206" s="14">
        <v>6163</v>
      </c>
      <c r="F206" s="18">
        <v>0</v>
      </c>
      <c r="G206" s="68" t="s">
        <v>776</v>
      </c>
      <c r="H206" s="64">
        <v>0.28000000000000003</v>
      </c>
      <c r="I206" s="64">
        <v>0.26</v>
      </c>
      <c r="J206" s="64">
        <v>0.33</v>
      </c>
      <c r="K206" s="71">
        <v>0.22875372539142846</v>
      </c>
      <c r="L206" s="65">
        <v>2700.1</v>
      </c>
      <c r="M206" s="65">
        <v>2700.1</v>
      </c>
      <c r="N206" s="13">
        <v>2700</v>
      </c>
      <c r="O206" s="13">
        <v>2440</v>
      </c>
      <c r="P206" s="30" t="s">
        <v>4</v>
      </c>
      <c r="Q206" s="13">
        <v>2700</v>
      </c>
      <c r="R206" s="13">
        <v>2440</v>
      </c>
      <c r="S206" s="23">
        <v>2570</v>
      </c>
      <c r="T206" s="41"/>
      <c r="U206" s="13">
        <v>5686</v>
      </c>
      <c r="V206" s="13">
        <v>6243</v>
      </c>
      <c r="W206" s="24">
        <v>6163</v>
      </c>
      <c r="X206" s="58" t="str">
        <f>HYPERLINK("http://drinc.ca.gov/DNN/Portals/0/SelfCert/e9c345e6-eab4-4749-88bb-fe7d5607f412.xlsx","WS1")</f>
        <v>WS1</v>
      </c>
      <c r="Y206" s="10"/>
      <c r="Z206" s="26" t="s">
        <v>13</v>
      </c>
      <c r="AA206" s="13">
        <v>-3593</v>
      </c>
      <c r="AB206" s="66">
        <v>0</v>
      </c>
      <c r="AC206" s="30" t="s">
        <v>18</v>
      </c>
      <c r="AD206" s="29" t="s">
        <v>296</v>
      </c>
      <c r="AE206" s="32"/>
      <c r="AF206" s="32"/>
      <c r="AG206" s="17"/>
      <c r="AH206" s="27"/>
      <c r="AI206" s="27"/>
      <c r="AJ206" s="11"/>
      <c r="AK206" s="58" t="str">
        <f>HYPERLINK("http://drinc.ca.gov/DNN/Portals/0/SelfCert/12c01da2-b7ac-4602-a989-f72edbaa3af2.pdf","Cert")</f>
        <v>Cert</v>
      </c>
      <c r="AL206" s="58" t="str">
        <f>HYPERLINK("http://drinc.ca.gov/DNN/Portals/0/SelfCert/bba5b74f-e7fd-4bac-8c66-9e895d557503.xls","Analysis")</f>
        <v>Analysis</v>
      </c>
    </row>
    <row r="207" spans="1:38" s="19" customFormat="1" ht="14.4" customHeight="1" x14ac:dyDescent="0.3">
      <c r="A207" s="12" t="s">
        <v>530</v>
      </c>
      <c r="B207" s="68" t="s">
        <v>16</v>
      </c>
      <c r="C207" s="73">
        <v>19121</v>
      </c>
      <c r="D207" s="14">
        <v>3838.5</v>
      </c>
      <c r="E207" s="14">
        <v>3838</v>
      </c>
      <c r="F207" s="18">
        <v>0</v>
      </c>
      <c r="G207" s="68" t="s">
        <v>776</v>
      </c>
      <c r="H207" s="64">
        <v>0.24</v>
      </c>
      <c r="I207" s="64">
        <v>0.24</v>
      </c>
      <c r="J207" s="64">
        <v>0.2</v>
      </c>
      <c r="K207" s="71">
        <v>0.17117969554448564</v>
      </c>
      <c r="L207" s="65">
        <v>3776.8</v>
      </c>
      <c r="M207" s="65">
        <v>3776.8</v>
      </c>
      <c r="N207" s="13">
        <v>3795</v>
      </c>
      <c r="O207" s="13">
        <v>3882</v>
      </c>
      <c r="P207" s="30" t="s">
        <v>4</v>
      </c>
      <c r="Q207" s="13">
        <v>3795</v>
      </c>
      <c r="R207" s="13">
        <v>3882</v>
      </c>
      <c r="S207" s="23">
        <v>3838.5</v>
      </c>
      <c r="T207" s="41"/>
      <c r="U207" s="13">
        <v>3838</v>
      </c>
      <c r="V207" s="13">
        <v>3838</v>
      </c>
      <c r="W207" s="24">
        <v>3838</v>
      </c>
      <c r="X207" s="58" t="str">
        <f>HYPERLINK("http://drinc.ca.gov/DNN/Portals/0/SelfCert/4fc38d22-15f2-480c-accd-9153ebedd287.xlsx","WS1")</f>
        <v>WS1</v>
      </c>
      <c r="Y207" s="10" t="s">
        <v>531</v>
      </c>
      <c r="Z207" s="26" t="s">
        <v>13</v>
      </c>
      <c r="AA207" s="13">
        <v>0.5</v>
      </c>
      <c r="AB207" s="15">
        <v>0</v>
      </c>
      <c r="AC207" s="30" t="s">
        <v>18</v>
      </c>
      <c r="AD207" s="29" t="s">
        <v>532</v>
      </c>
      <c r="AE207" s="32"/>
      <c r="AF207" s="32"/>
      <c r="AG207" s="17"/>
      <c r="AH207" s="27"/>
      <c r="AI207" s="27"/>
      <c r="AJ207" s="11"/>
      <c r="AK207" s="58" t="str">
        <f>HYPERLINK("http://drinc.ca.gov/DNN/Portals/0/SelfCert/2ea95246-6d91-469b-8723-9695dd4c7a13.pdf","Cert")</f>
        <v>Cert</v>
      </c>
      <c r="AL207" s="58" t="str">
        <f>HYPERLINK("http://drinc.ca.gov/DNN/Portals/0/SelfCert/34ab3d3e-adc4-4eaf-8077-1ffc2ec60e10.xls","Analysis")</f>
        <v>Analysis</v>
      </c>
    </row>
    <row r="208" spans="1:38" s="19" customFormat="1" ht="14.4" customHeight="1" x14ac:dyDescent="0.3">
      <c r="A208" s="12" t="s">
        <v>84</v>
      </c>
      <c r="B208" s="68" t="s">
        <v>16</v>
      </c>
      <c r="C208" s="73">
        <v>102889</v>
      </c>
      <c r="D208" s="14">
        <v>21573.5</v>
      </c>
      <c r="E208" s="14">
        <v>21574</v>
      </c>
      <c r="F208" s="18">
        <v>0</v>
      </c>
      <c r="G208" s="68" t="s">
        <v>776</v>
      </c>
      <c r="H208" s="64">
        <v>0.28000000000000003</v>
      </c>
      <c r="I208" s="64">
        <v>0.26</v>
      </c>
      <c r="J208" s="64">
        <v>0.28000000000000003</v>
      </c>
      <c r="K208" s="71">
        <v>0.24907578558225496</v>
      </c>
      <c r="L208" s="65">
        <v>22398</v>
      </c>
      <c r="M208" s="65">
        <v>22398</v>
      </c>
      <c r="N208" s="13">
        <v>21897</v>
      </c>
      <c r="O208" s="13">
        <v>21250</v>
      </c>
      <c r="P208" s="30" t="s">
        <v>4</v>
      </c>
      <c r="Q208" s="13">
        <v>21897</v>
      </c>
      <c r="R208" s="13">
        <v>21250</v>
      </c>
      <c r="S208" s="23">
        <v>21573.5</v>
      </c>
      <c r="T208" s="41"/>
      <c r="U208" s="13">
        <v>21574</v>
      </c>
      <c r="V208" s="13">
        <v>21574</v>
      </c>
      <c r="W208" s="24">
        <v>21574</v>
      </c>
      <c r="X208" s="58" t="str">
        <f>HYPERLINK("http://drinc.ca.gov/DNN/Portals/0/SelfCert/21e95e53-d70a-4b49-b1bb-b23311f6b96f.xlsx","WS1")</f>
        <v>WS1</v>
      </c>
      <c r="Y208" s="10"/>
      <c r="Z208" s="26" t="s">
        <v>13</v>
      </c>
      <c r="AA208" s="13">
        <v>-0.5</v>
      </c>
      <c r="AB208" s="15">
        <v>0</v>
      </c>
      <c r="AC208" s="30" t="s">
        <v>18</v>
      </c>
      <c r="AD208" s="29" t="s">
        <v>85</v>
      </c>
      <c r="AE208" s="32"/>
      <c r="AF208" s="32"/>
      <c r="AG208" s="17"/>
      <c r="AH208" s="27"/>
      <c r="AI208" s="27"/>
      <c r="AJ208" s="11"/>
      <c r="AK208" s="58" t="str">
        <f>HYPERLINK("http://drinc.ca.gov/DNN/Portals/0/SelfCert/14f00619-5399-4f8a-b8b1-292290f6cf7b.pdf","Cert")</f>
        <v>Cert</v>
      </c>
      <c r="AL208" s="58" t="str">
        <f>HYPERLINK("http://drinc.ca.gov/DNN/Portals/0/SelfCert/89cf51d4-c5b2-456d-b25b-529bb1de73c1.xls","Analysis")</f>
        <v>Analysis</v>
      </c>
    </row>
    <row r="209" spans="1:38" s="19" customFormat="1" ht="14.4" customHeight="1" x14ac:dyDescent="0.3">
      <c r="A209" s="12" t="s">
        <v>657</v>
      </c>
      <c r="B209" s="68" t="s">
        <v>16</v>
      </c>
      <c r="C209" s="73">
        <v>95358.083333333328</v>
      </c>
      <c r="D209" s="14">
        <v>11400</v>
      </c>
      <c r="E209" s="14">
        <v>11400</v>
      </c>
      <c r="F209" s="18">
        <v>0</v>
      </c>
      <c r="G209" s="68" t="s">
        <v>776</v>
      </c>
      <c r="H209" s="64">
        <v>0.08</v>
      </c>
      <c r="I209" s="64">
        <v>0.08</v>
      </c>
      <c r="J209" s="64">
        <v>0.25</v>
      </c>
      <c r="K209" s="71">
        <v>0.16415261756876665</v>
      </c>
      <c r="L209" s="65">
        <v>11466</v>
      </c>
      <c r="M209" s="65">
        <v>11466</v>
      </c>
      <c r="N209" s="13">
        <v>11466</v>
      </c>
      <c r="O209" s="13">
        <v>11334</v>
      </c>
      <c r="P209" s="30" t="s">
        <v>4</v>
      </c>
      <c r="Q209" s="13">
        <v>11466</v>
      </c>
      <c r="R209" s="13">
        <v>11334</v>
      </c>
      <c r="S209" s="23">
        <v>11400</v>
      </c>
      <c r="T209" s="41"/>
      <c r="U209" s="13">
        <v>11400</v>
      </c>
      <c r="V209" s="13">
        <v>11400</v>
      </c>
      <c r="W209" s="24">
        <v>11400</v>
      </c>
      <c r="X209" s="58" t="str">
        <f>HYPERLINK("http://drinc.ca.gov/DNN/Portals/0/SelfCert/03efa02f-cd65-4562-80b0-11ba9cbbf898.xlsx","WS1")</f>
        <v>WS1</v>
      </c>
      <c r="Y209" s="10" t="s">
        <v>658</v>
      </c>
      <c r="Z209" s="26" t="s">
        <v>13</v>
      </c>
      <c r="AA209" s="13">
        <v>0</v>
      </c>
      <c r="AB209" s="15">
        <v>0</v>
      </c>
      <c r="AC209" s="30" t="s">
        <v>18</v>
      </c>
      <c r="AD209" s="29" t="s">
        <v>85</v>
      </c>
      <c r="AE209" s="32"/>
      <c r="AF209" s="32"/>
      <c r="AG209" s="17"/>
      <c r="AH209" s="27"/>
      <c r="AI209" s="27"/>
      <c r="AJ209" s="11"/>
      <c r="AK209" s="58" t="str">
        <f>HYPERLINK("http://drinc.ca.gov/DNN/Portals/0/SelfCert/7d0f7e14-af9f-4d59-a86d-f201f50c75f7.pdf","Cert")</f>
        <v>Cert</v>
      </c>
      <c r="AL209" s="58" t="str">
        <f>HYPERLINK("http://drinc.ca.gov/DNN/Portals/0/SelfCert/00b725db-bb1e-41b8-a00b-cd10bd5720bb.xls","Analysis")</f>
        <v>Analysis</v>
      </c>
    </row>
    <row r="210" spans="1:38" s="19" customFormat="1" ht="14.4" customHeight="1" x14ac:dyDescent="0.3">
      <c r="A210" s="12" t="s">
        <v>287</v>
      </c>
      <c r="B210" s="68" t="s">
        <v>16</v>
      </c>
      <c r="C210" s="73">
        <v>62144</v>
      </c>
      <c r="D210" s="14">
        <v>17425.900000000001</v>
      </c>
      <c r="E210" s="14">
        <v>17426</v>
      </c>
      <c r="F210" s="18">
        <v>0</v>
      </c>
      <c r="G210" s="68" t="s">
        <v>776</v>
      </c>
      <c r="H210" s="64">
        <v>0.32</v>
      </c>
      <c r="I210" s="64">
        <v>0.3</v>
      </c>
      <c r="J210" s="64">
        <v>0.26</v>
      </c>
      <c r="K210" s="71">
        <v>0.23765252760023237</v>
      </c>
      <c r="L210" s="65">
        <v>17749</v>
      </c>
      <c r="M210" s="65">
        <v>17749</v>
      </c>
      <c r="N210" s="13">
        <v>17802.599999999999</v>
      </c>
      <c r="O210" s="13">
        <v>17049.2</v>
      </c>
      <c r="P210" s="30" t="s">
        <v>4</v>
      </c>
      <c r="Q210" s="13">
        <v>17802.599999999999</v>
      </c>
      <c r="R210" s="13">
        <v>17049.2</v>
      </c>
      <c r="S210" s="23">
        <v>17425.900000000001</v>
      </c>
      <c r="T210" s="41"/>
      <c r="U210" s="13">
        <v>17426</v>
      </c>
      <c r="V210" s="13">
        <v>17426</v>
      </c>
      <c r="W210" s="24">
        <v>17426</v>
      </c>
      <c r="X210" s="58" t="str">
        <f>HYPERLINK("http://drinc.ca.gov/DNN/Portals/0/SelfCert/ae82084f-34a4-4ea0-95dd-ce0bf636ad0f.xlsx","WS1")</f>
        <v>WS1</v>
      </c>
      <c r="Y210" s="10"/>
      <c r="Z210" s="26" t="s">
        <v>13</v>
      </c>
      <c r="AA210" s="13">
        <v>-0.1</v>
      </c>
      <c r="AB210" s="15">
        <v>0</v>
      </c>
      <c r="AC210" s="30" t="s">
        <v>18</v>
      </c>
      <c r="AD210" s="29" t="s">
        <v>85</v>
      </c>
      <c r="AE210" s="32"/>
      <c r="AF210" s="32"/>
      <c r="AG210" s="17"/>
      <c r="AH210" s="27"/>
      <c r="AI210" s="27"/>
      <c r="AJ210" s="11"/>
      <c r="AK210" s="58" t="str">
        <f>HYPERLINK("http://drinc.ca.gov/DNN/Portals/0/SelfCert/50ed37b4-5226-4178-8b22-21b2ea630361.pdf","Cert")</f>
        <v>Cert</v>
      </c>
      <c r="AL210" s="58" t="str">
        <f>HYPERLINK("http://drinc.ca.gov/DNN/Portals/0/SelfCert/1381e77c-c01c-4eaf-a5db-92cb8ccd7b26.xlsx","Analysis")</f>
        <v>Analysis</v>
      </c>
    </row>
    <row r="211" spans="1:38" s="19" customFormat="1" ht="14.4" customHeight="1" x14ac:dyDescent="0.3">
      <c r="A211" s="12" t="s">
        <v>520</v>
      </c>
      <c r="B211" s="68" t="s">
        <v>27</v>
      </c>
      <c r="C211" s="73">
        <v>177808</v>
      </c>
      <c r="D211" s="14">
        <v>32013</v>
      </c>
      <c r="E211" s="14">
        <v>62200</v>
      </c>
      <c r="F211" s="18">
        <v>0</v>
      </c>
      <c r="G211" s="68" t="s">
        <v>776</v>
      </c>
      <c r="H211" s="64">
        <v>0.28000000000000003</v>
      </c>
      <c r="I211" s="64">
        <v>0.26</v>
      </c>
      <c r="J211" s="64">
        <v>0.28999999999999998</v>
      </c>
      <c r="K211" s="71">
        <v>0.23640707636161196</v>
      </c>
      <c r="L211" s="65">
        <v>34714.5</v>
      </c>
      <c r="M211" s="65">
        <v>34714.5</v>
      </c>
      <c r="N211" s="13">
        <v>34396</v>
      </c>
      <c r="O211" s="13">
        <v>29630</v>
      </c>
      <c r="P211" s="30" t="s">
        <v>4</v>
      </c>
      <c r="Q211" s="13">
        <v>34396</v>
      </c>
      <c r="R211" s="13">
        <v>29630</v>
      </c>
      <c r="S211" s="23">
        <v>32013</v>
      </c>
      <c r="T211" s="41" t="s">
        <v>521</v>
      </c>
      <c r="U211" s="13">
        <v>62700</v>
      </c>
      <c r="V211" s="13">
        <v>62200</v>
      </c>
      <c r="W211" s="24">
        <v>62200</v>
      </c>
      <c r="X211" s="58" t="str">
        <f>HYPERLINK("http://drinc.ca.gov/DNN/Portals/0/SelfCert/df447889-c4d8-4ee5-a378-1d48d4cb8e8d.xlsx","WS1")</f>
        <v>WS1</v>
      </c>
      <c r="Y211" s="10" t="s">
        <v>522</v>
      </c>
      <c r="Z211" s="26" t="s">
        <v>13</v>
      </c>
      <c r="AA211" s="13">
        <v>-30187</v>
      </c>
      <c r="AB211" s="66">
        <v>0</v>
      </c>
      <c r="AC211" s="30" t="s">
        <v>18</v>
      </c>
      <c r="AD211" s="29" t="s">
        <v>523</v>
      </c>
      <c r="AE211" s="32"/>
      <c r="AF211" s="32"/>
      <c r="AG211" s="17"/>
      <c r="AH211" s="27"/>
      <c r="AI211" s="27"/>
      <c r="AJ211" s="11"/>
      <c r="AK211" s="58" t="str">
        <f>HYPERLINK("http://drinc.ca.gov/DNN/Portals/0/SelfCert/a60bf939-5dee-446b-98f9-95339f09210f.pdf","Cert")</f>
        <v>Cert</v>
      </c>
      <c r="AL211" s="58" t="str">
        <f>HYPERLINK("http://drinc.ca.gov/DNN/Portals/0/SelfCert/e593939b-c9d6-41cb-b582-8907ea71ba11.docx","Analysis")</f>
        <v>Analysis</v>
      </c>
    </row>
    <row r="212" spans="1:38" s="19" customFormat="1" ht="14.4" customHeight="1" x14ac:dyDescent="0.3">
      <c r="A212" s="12" t="s">
        <v>78</v>
      </c>
      <c r="B212" s="68" t="s">
        <v>16</v>
      </c>
      <c r="C212" s="73">
        <v>16126</v>
      </c>
      <c r="D212" s="14">
        <v>2439</v>
      </c>
      <c r="E212" s="14">
        <v>2829.5</v>
      </c>
      <c r="F212" s="18">
        <v>0</v>
      </c>
      <c r="G212" s="68" t="s">
        <v>776</v>
      </c>
      <c r="H212" s="64">
        <v>0.28000000000000003</v>
      </c>
      <c r="I212" s="64">
        <v>0.26</v>
      </c>
      <c r="J212" s="64">
        <v>0.31</v>
      </c>
      <c r="K212" s="71">
        <v>0.30415897908979095</v>
      </c>
      <c r="L212" s="65">
        <v>2525.6</v>
      </c>
      <c r="M212" s="65">
        <v>2525.6</v>
      </c>
      <c r="N212" s="13">
        <v>2525.6</v>
      </c>
      <c r="O212" s="13">
        <v>2352.4</v>
      </c>
      <c r="P212" s="30" t="s">
        <v>4</v>
      </c>
      <c r="Q212" s="13">
        <v>2525.6</v>
      </c>
      <c r="R212" s="13">
        <v>2352.4</v>
      </c>
      <c r="S212" s="23">
        <v>2439</v>
      </c>
      <c r="T212" s="41"/>
      <c r="U212" s="13">
        <v>3237.5</v>
      </c>
      <c r="V212" s="13">
        <v>3032.5</v>
      </c>
      <c r="W212" s="24">
        <v>2829.5</v>
      </c>
      <c r="X212" s="58" t="str">
        <f>HYPERLINK("http://drinc.ca.gov/DNN/Portals/0/SelfCert/49876b80-7396-41e9-9986-8ff999086cdc.xlsx","WS1")</f>
        <v>WS1</v>
      </c>
      <c r="Y212" s="10"/>
      <c r="Z212" s="26" t="s">
        <v>13</v>
      </c>
      <c r="AA212" s="13">
        <v>-390.5</v>
      </c>
      <c r="AB212" s="66">
        <v>0</v>
      </c>
      <c r="AC212" s="30" t="s">
        <v>14</v>
      </c>
      <c r="AD212" s="29"/>
      <c r="AE212" s="32"/>
      <c r="AF212" s="32"/>
      <c r="AG212" s="17"/>
      <c r="AH212" s="27"/>
      <c r="AI212" s="27"/>
      <c r="AJ212" s="11"/>
      <c r="AK212" s="58" t="str">
        <f>HYPERLINK("http://drinc.ca.gov/DNN/Portals/0/SelfCert/32dd2a5d-29ae-4f06-adf0-0043992e5d9d.pdf","Cert")</f>
        <v>Cert</v>
      </c>
      <c r="AL212" s="58" t="str">
        <f>HYPERLINK("http://drinc.ca.gov/DNN/Portals/0/SelfCert/5c93e711-614c-454f-ab63-65cfe1718773.xlsx","Analysis")</f>
        <v>Analysis</v>
      </c>
    </row>
    <row r="213" spans="1:38" s="19" customFormat="1" ht="14.4" customHeight="1" x14ac:dyDescent="0.3">
      <c r="A213" s="12" t="s">
        <v>404</v>
      </c>
      <c r="B213" s="68" t="s">
        <v>16</v>
      </c>
      <c r="C213" s="73">
        <v>49954</v>
      </c>
      <c r="D213" s="14">
        <v>8463.7999999999993</v>
      </c>
      <c r="E213" s="14">
        <v>8463.7999999999993</v>
      </c>
      <c r="F213" s="18">
        <v>0</v>
      </c>
      <c r="G213" s="68" t="s">
        <v>776</v>
      </c>
      <c r="H213" s="64">
        <v>0.2</v>
      </c>
      <c r="I213" s="64">
        <v>0.17</v>
      </c>
      <c r="J213" s="64">
        <v>0.22</v>
      </c>
      <c r="K213" s="71">
        <v>7.367384187501802E-2</v>
      </c>
      <c r="L213" s="65">
        <v>8501.5</v>
      </c>
      <c r="M213" s="65">
        <v>8501.5</v>
      </c>
      <c r="N213" s="13">
        <v>8501.5</v>
      </c>
      <c r="O213" s="13">
        <v>8426.1</v>
      </c>
      <c r="P213" s="30" t="s">
        <v>4</v>
      </c>
      <c r="Q213" s="13">
        <v>8501.5</v>
      </c>
      <c r="R213" s="13">
        <v>8426.1</v>
      </c>
      <c r="S213" s="34">
        <v>8463.7999999999993</v>
      </c>
      <c r="T213" s="41" t="s">
        <v>405</v>
      </c>
      <c r="U213" s="13">
        <v>8463.8150000000005</v>
      </c>
      <c r="V213" s="13">
        <v>8463.7999999999993</v>
      </c>
      <c r="W213" s="24">
        <v>8463.7999999999993</v>
      </c>
      <c r="X213" s="58" t="str">
        <f>HYPERLINK("http://drinc.ca.gov/DNN/Portals/0/SelfCert/49bebd7a-36f6-4e7d-8086-3a040772099b.xlsx","WS1")</f>
        <v>WS1</v>
      </c>
      <c r="Y213" s="10" t="s">
        <v>406</v>
      </c>
      <c r="Z213" s="26" t="s">
        <v>13</v>
      </c>
      <c r="AA213" s="31">
        <v>0</v>
      </c>
      <c r="AB213" s="15">
        <v>0</v>
      </c>
      <c r="AC213" s="30" t="s">
        <v>18</v>
      </c>
      <c r="AD213" s="29"/>
      <c r="AE213" s="32"/>
      <c r="AF213" s="32"/>
      <c r="AG213" s="17"/>
      <c r="AH213" s="36"/>
      <c r="AI213" s="36"/>
      <c r="AJ213" s="11"/>
      <c r="AK213" s="58" t="str">
        <f>HYPERLINK("http://drinc.ca.gov/DNN/Portals/0/SelfCert/007865d3-ca14-4735-8a8a-b33ec5324224.pdf","Cert")</f>
        <v>Cert</v>
      </c>
      <c r="AL213" s="58" t="str">
        <f>HYPERLINK("http://drinc.ca.gov/DNN/Portals/0/SelfCert/5a3bf493-f88a-4ee5-a5c6-dbababd0ceb0.xlsx","Analysis")</f>
        <v>Analysis</v>
      </c>
    </row>
    <row r="214" spans="1:38" s="19" customFormat="1" ht="14.4" customHeight="1" x14ac:dyDescent="0.3">
      <c r="A214" s="12" t="s">
        <v>270</v>
      </c>
      <c r="B214" s="68" t="s">
        <v>46</v>
      </c>
      <c r="C214" s="73">
        <v>14354</v>
      </c>
      <c r="D214" s="14">
        <v>3399.5</v>
      </c>
      <c r="E214" s="14">
        <v>7500</v>
      </c>
      <c r="F214" s="18">
        <v>0</v>
      </c>
      <c r="G214" s="68" t="s">
        <v>776</v>
      </c>
      <c r="H214" s="64">
        <v>0.32</v>
      </c>
      <c r="I214" s="64">
        <v>0.28999999999999998</v>
      </c>
      <c r="J214" s="64">
        <v>0.28000000000000003</v>
      </c>
      <c r="K214" s="71">
        <v>0.24323754950703635</v>
      </c>
      <c r="L214" s="65">
        <v>3563.3</v>
      </c>
      <c r="M214" s="65">
        <v>3563.3</v>
      </c>
      <c r="N214" s="13">
        <v>1161.0999999999999</v>
      </c>
      <c r="O214" s="13">
        <v>1054.4000000000001</v>
      </c>
      <c r="P214" s="30" t="s">
        <v>5</v>
      </c>
      <c r="Q214" s="13">
        <v>3563.3</v>
      </c>
      <c r="R214" s="13">
        <v>3235.7</v>
      </c>
      <c r="S214" s="23">
        <v>3399.5</v>
      </c>
      <c r="T214" s="41"/>
      <c r="U214" s="13">
        <v>8468</v>
      </c>
      <c r="V214" s="13">
        <v>7984</v>
      </c>
      <c r="W214" s="24">
        <v>7500</v>
      </c>
      <c r="X214" s="58" t="str">
        <f>HYPERLINK("https://drinc.ca.gov/DNN/Portals/0/SelfCert/66243272-1c35-4953-aec3-7c67365eeb39.xlsx","WS1")</f>
        <v>WS1</v>
      </c>
      <c r="Y214" s="10"/>
      <c r="Z214" s="26" t="s">
        <v>13</v>
      </c>
      <c r="AA214" s="13">
        <v>-4100.5</v>
      </c>
      <c r="AB214" s="66">
        <v>0</v>
      </c>
      <c r="AC214" s="30" t="s">
        <v>14</v>
      </c>
      <c r="AD214" s="29"/>
      <c r="AE214" s="32"/>
      <c r="AF214" s="32"/>
      <c r="AG214" s="17"/>
      <c r="AH214" s="27"/>
      <c r="AI214" s="27"/>
      <c r="AJ214" s="11"/>
      <c r="AK214" s="58" t="str">
        <f>HYPERLINK("https://drinc.ca.gov/DNN/Portals/0/SelfCert/689e5bba-73fa-4f63-bcc3-bb13d933abcf.pdf","Cert")</f>
        <v>Cert</v>
      </c>
      <c r="AL214" s="58" t="str">
        <f>HYPERLINK("https://drinc.ca.gov/DNN/Portals/0/SelfCert/d3c17642-61ae-4099-aa1b-2022abfb694b.xlsx","Analysis")</f>
        <v>Analysis</v>
      </c>
    </row>
    <row r="215" spans="1:38" s="19" customFormat="1" ht="14.4" customHeight="1" x14ac:dyDescent="0.3">
      <c r="A215" s="12" t="s">
        <v>461</v>
      </c>
      <c r="B215" s="68" t="s">
        <v>16</v>
      </c>
      <c r="C215" s="73">
        <v>15866.666666666666</v>
      </c>
      <c r="D215" s="14">
        <v>2141</v>
      </c>
      <c r="E215" s="14">
        <v>2141</v>
      </c>
      <c r="F215" s="18">
        <v>0</v>
      </c>
      <c r="G215" s="68" t="s">
        <v>776</v>
      </c>
      <c r="H215" s="64">
        <v>0.2</v>
      </c>
      <c r="I215" s="64">
        <v>0.13</v>
      </c>
      <c r="J215" s="64">
        <v>0.23</v>
      </c>
      <c r="K215" s="71">
        <v>0.23343439777006214</v>
      </c>
      <c r="L215" s="65">
        <v>2198.6999999999998</v>
      </c>
      <c r="M215" s="65">
        <v>2198.6999999999998</v>
      </c>
      <c r="N215" s="13">
        <v>2198</v>
      </c>
      <c r="O215" s="13">
        <v>2084</v>
      </c>
      <c r="P215" s="30" t="s">
        <v>4</v>
      </c>
      <c r="Q215" s="13">
        <v>2198</v>
      </c>
      <c r="R215" s="13">
        <v>2084</v>
      </c>
      <c r="S215" s="23">
        <v>2141</v>
      </c>
      <c r="T215" s="41"/>
      <c r="U215" s="13">
        <v>2140</v>
      </c>
      <c r="V215" s="13">
        <v>2141</v>
      </c>
      <c r="W215" s="24">
        <v>2141</v>
      </c>
      <c r="X215" s="58" t="str">
        <f>HYPERLINK("http://drinc.ca.gov/DNN/Portals/0/SelfCert/fe0f04fd-40c6-471d-a14f-ebfd8cb2f629.xlsx","WS1")</f>
        <v>WS1</v>
      </c>
      <c r="Y215" s="10"/>
      <c r="Z215" s="26" t="s">
        <v>13</v>
      </c>
      <c r="AA215" s="13">
        <v>0</v>
      </c>
      <c r="AB215" s="15">
        <v>0</v>
      </c>
      <c r="AC215" s="30" t="s">
        <v>18</v>
      </c>
      <c r="AD215" s="29" t="s">
        <v>462</v>
      </c>
      <c r="AE215" s="32"/>
      <c r="AF215" s="32"/>
      <c r="AG215" s="17"/>
      <c r="AH215" s="27"/>
      <c r="AI215" s="27"/>
      <c r="AJ215" s="11"/>
      <c r="AK215" s="58" t="str">
        <f>HYPERLINK("http://drinc.ca.gov/DNN/Portals/0/SelfCert/373dea42-4972-4783-ba94-0e949c302ac0.pdf","Cert")</f>
        <v>Cert</v>
      </c>
      <c r="AL215" s="58" t="str">
        <f>HYPERLINK("http://drinc.ca.gov/DNN/Portals/0/SelfCert/a7a0e9a0-1b0a-4e04-8484-f98eacf71a33.xlsx","Analysis")</f>
        <v>Analysis</v>
      </c>
    </row>
    <row r="216" spans="1:38" s="19" customFormat="1" ht="14.4" customHeight="1" x14ac:dyDescent="0.3">
      <c r="A216" s="12" t="s">
        <v>463</v>
      </c>
      <c r="B216" s="68" t="s">
        <v>16</v>
      </c>
      <c r="C216" s="73">
        <v>156877.83333333334</v>
      </c>
      <c r="D216" s="14">
        <v>28726.5</v>
      </c>
      <c r="E216" s="14">
        <v>28726.5</v>
      </c>
      <c r="F216" s="18">
        <v>0</v>
      </c>
      <c r="G216" s="68" t="s">
        <v>776</v>
      </c>
      <c r="H216" s="64">
        <v>0.24</v>
      </c>
      <c r="I216" s="64">
        <v>0.23</v>
      </c>
      <c r="J216" s="64">
        <v>0.24</v>
      </c>
      <c r="K216" s="71">
        <v>0.21884861973889636</v>
      </c>
      <c r="L216" s="65">
        <v>28631</v>
      </c>
      <c r="M216" s="65">
        <v>28631</v>
      </c>
      <c r="N216" s="13">
        <v>28653</v>
      </c>
      <c r="O216" s="13">
        <v>28800</v>
      </c>
      <c r="P216" s="30" t="s">
        <v>4</v>
      </c>
      <c r="Q216" s="13">
        <v>28653</v>
      </c>
      <c r="R216" s="13">
        <v>28800</v>
      </c>
      <c r="S216" s="23">
        <v>28726.5</v>
      </c>
      <c r="T216" s="41" t="s">
        <v>464</v>
      </c>
      <c r="U216" s="13">
        <v>28726.5</v>
      </c>
      <c r="V216" s="13">
        <v>28726.5</v>
      </c>
      <c r="W216" s="24">
        <v>28726.5</v>
      </c>
      <c r="X216" s="58" t="str">
        <f>HYPERLINK("https://drinc.ca.gov/DNN/Portals/0/SelfCert/fd6f6f8a-a7e2-49f6-9b0e-6088ff6759d5.xlsx","WS1")</f>
        <v>WS1</v>
      </c>
      <c r="Y216" s="10" t="s">
        <v>465</v>
      </c>
      <c r="Z216" s="26" t="s">
        <v>13</v>
      </c>
      <c r="AA216" s="13">
        <v>0</v>
      </c>
      <c r="AB216" s="15">
        <v>0</v>
      </c>
      <c r="AC216" s="30" t="s">
        <v>18</v>
      </c>
      <c r="AD216" s="29" t="s">
        <v>746</v>
      </c>
      <c r="AE216" s="32"/>
      <c r="AF216" s="32"/>
      <c r="AG216" s="17"/>
      <c r="AH216" s="27"/>
      <c r="AI216" s="27"/>
      <c r="AJ216" s="11"/>
      <c r="AK216" s="58" t="str">
        <f>HYPERLINK("https://drinc.ca.gov/DNN/Portals/0/SelfCert/3dce02aa-2b5a-45ab-8445-405af68b5d3f.pdf","Cert")</f>
        <v>Cert</v>
      </c>
      <c r="AL216" s="58" t="str">
        <f>HYPERLINK("https://drinc.ca.gov/DNN/Portals/0/SelfCert/dfafef78-7c07-46d4-a208-06ca05dbbff6.docx","Analysis")</f>
        <v>Analysis</v>
      </c>
    </row>
    <row r="217" spans="1:38" s="19" customFormat="1" ht="14.4" customHeight="1" x14ac:dyDescent="0.3">
      <c r="A217" s="12" t="s">
        <v>553</v>
      </c>
      <c r="B217" s="68" t="s">
        <v>16</v>
      </c>
      <c r="C217" s="73">
        <v>108500</v>
      </c>
      <c r="D217" s="14">
        <v>19068.400000000001</v>
      </c>
      <c r="E217" s="14">
        <v>19069</v>
      </c>
      <c r="F217" s="18">
        <v>0</v>
      </c>
      <c r="G217" s="68" t="s">
        <v>776</v>
      </c>
      <c r="H217" s="64">
        <v>0.2</v>
      </c>
      <c r="I217" s="64">
        <v>0.13</v>
      </c>
      <c r="J217" s="64">
        <v>0.22</v>
      </c>
      <c r="K217" s="71">
        <v>0.18917332080789095</v>
      </c>
      <c r="L217" s="65">
        <v>18209.3</v>
      </c>
      <c r="M217" s="65">
        <v>18209.3</v>
      </c>
      <c r="N217" s="13">
        <v>19237.7</v>
      </c>
      <c r="O217" s="13">
        <v>18899</v>
      </c>
      <c r="P217" s="30" t="s">
        <v>4</v>
      </c>
      <c r="Q217" s="13">
        <v>19237.7</v>
      </c>
      <c r="R217" s="13">
        <v>18899</v>
      </c>
      <c r="S217" s="23">
        <v>19068.400000000001</v>
      </c>
      <c r="T217" s="41"/>
      <c r="U217" s="13">
        <v>19069</v>
      </c>
      <c r="V217" s="13">
        <v>19070</v>
      </c>
      <c r="W217" s="24">
        <v>19069</v>
      </c>
      <c r="X217" s="58" t="str">
        <f>HYPERLINK("https://drinc.ca.gov/DNN/Portals/0/SelfCert/8fc18b44-7d6d-456b-a0cd-33e4effa0a28.xlsx","WS1")</f>
        <v>WS1</v>
      </c>
      <c r="Y217" s="10"/>
      <c r="Z217" s="26" t="s">
        <v>13</v>
      </c>
      <c r="AA217" s="13">
        <v>-0.7</v>
      </c>
      <c r="AB217" s="15">
        <v>0</v>
      </c>
      <c r="AC217" s="30" t="s">
        <v>14</v>
      </c>
      <c r="AD217" s="29"/>
      <c r="AE217" s="32"/>
      <c r="AF217" s="32"/>
      <c r="AG217" s="17"/>
      <c r="AH217" s="27"/>
      <c r="AI217" s="27"/>
      <c r="AJ217" s="11"/>
      <c r="AK217" s="58" t="str">
        <f>HYPERLINK("https://drinc.ca.gov/DNN/Portals/0/SelfCert/8bf2cc37-879f-4699-9d62-4166442a7b28.pdf","Cert")</f>
        <v>Cert</v>
      </c>
      <c r="AL217" s="58" t="str">
        <f>HYPERLINK("https://drinc.ca.gov/DNN/Portals/0/SelfCert/389896df-faee-478f-b471-71f32e1c152d.docx","Analysis")</f>
        <v>Analysis</v>
      </c>
    </row>
    <row r="218" spans="1:38" s="19" customFormat="1" ht="14.4" customHeight="1" x14ac:dyDescent="0.3">
      <c r="A218" s="12" t="s">
        <v>646</v>
      </c>
      <c r="B218" s="68" t="s">
        <v>38</v>
      </c>
      <c r="C218" s="73">
        <v>100623</v>
      </c>
      <c r="D218" s="14">
        <v>10802.7</v>
      </c>
      <c r="E218" s="14">
        <v>25701</v>
      </c>
      <c r="F218" s="18">
        <v>0</v>
      </c>
      <c r="G218" s="68" t="s">
        <v>776</v>
      </c>
      <c r="H218" s="64">
        <v>0.08</v>
      </c>
      <c r="I218" s="64">
        <v>0.08</v>
      </c>
      <c r="J218" s="64">
        <v>0.2</v>
      </c>
      <c r="K218" s="71">
        <v>0.13605654888806762</v>
      </c>
      <c r="L218" s="65">
        <v>11951.5</v>
      </c>
      <c r="M218" s="65">
        <v>11951.5</v>
      </c>
      <c r="N218" s="13">
        <v>11355.8</v>
      </c>
      <c r="O218" s="13">
        <v>10249.700000000001</v>
      </c>
      <c r="P218" s="30" t="s">
        <v>4</v>
      </c>
      <c r="Q218" s="13">
        <v>11355.8</v>
      </c>
      <c r="R218" s="13">
        <v>10249.700000000001</v>
      </c>
      <c r="S218" s="23">
        <v>10802.7</v>
      </c>
      <c r="T218" s="41" t="s">
        <v>770</v>
      </c>
      <c r="U218" s="13">
        <v>27048</v>
      </c>
      <c r="V218" s="13">
        <v>25344</v>
      </c>
      <c r="W218" s="24">
        <v>25701</v>
      </c>
      <c r="X218" s="58" t="str">
        <f>HYPERLINK("http://drinc.ca.gov/DNN/Portals/0/SelfCert/5929572a-4edb-44d6-b15d-f539cba3664d.xlsx","WS1")</f>
        <v>WS1</v>
      </c>
      <c r="Y218" s="10" t="s">
        <v>647</v>
      </c>
      <c r="Z218" s="26" t="s">
        <v>13</v>
      </c>
      <c r="AA218" s="13">
        <v>-14898.3</v>
      </c>
      <c r="AB218" s="66">
        <v>0</v>
      </c>
      <c r="AC218" s="30" t="s">
        <v>18</v>
      </c>
      <c r="AD218" s="29" t="s">
        <v>648</v>
      </c>
      <c r="AE218" s="32"/>
      <c r="AF218" s="32"/>
      <c r="AG218" s="17"/>
      <c r="AH218" s="27"/>
      <c r="AI218" s="27"/>
      <c r="AJ218" s="11"/>
      <c r="AK218" s="58" t="str">
        <f>HYPERLINK("http://drinc.ca.gov/DNN/Portals/0/SelfCert/46be5884-9c59-408b-8669-f3e84f90ce64.pdf","Cert")</f>
        <v>Cert</v>
      </c>
      <c r="AL218" s="58" t="str">
        <f>HYPERLINK("http://drinc.ca.gov/DNN/Portals/0/SelfCert/73191b99-d0bf-4606-8a43-af34b7b64492.pdf","Analysis")</f>
        <v>Analysis</v>
      </c>
    </row>
    <row r="219" spans="1:38" s="19" customFormat="1" ht="14.4" customHeight="1" x14ac:dyDescent="0.3">
      <c r="A219" s="12" t="s">
        <v>283</v>
      </c>
      <c r="B219" s="68" t="s">
        <v>40</v>
      </c>
      <c r="C219" s="73">
        <v>28718.75</v>
      </c>
      <c r="D219" s="14">
        <v>3991.2</v>
      </c>
      <c r="E219" s="14">
        <v>3991.2</v>
      </c>
      <c r="F219" s="18">
        <v>0</v>
      </c>
      <c r="G219" s="68" t="s">
        <v>776</v>
      </c>
      <c r="H219" s="64">
        <v>0.28000000000000003</v>
      </c>
      <c r="I219" s="64">
        <v>0.2</v>
      </c>
      <c r="J219" s="64">
        <v>0.27</v>
      </c>
      <c r="K219" s="71">
        <v>0.23433048433048431</v>
      </c>
      <c r="L219" s="65">
        <v>4284.2</v>
      </c>
      <c r="M219" s="65">
        <v>4284.2</v>
      </c>
      <c r="N219" s="13">
        <v>1395.4</v>
      </c>
      <c r="O219" s="13">
        <v>1205.7</v>
      </c>
      <c r="P219" s="30" t="s">
        <v>5</v>
      </c>
      <c r="Q219" s="13">
        <v>4282.3</v>
      </c>
      <c r="R219" s="13">
        <v>3700.2</v>
      </c>
      <c r="S219" s="23">
        <v>3991.2</v>
      </c>
      <c r="T219" s="41"/>
      <c r="U219" s="13">
        <v>3991.2359999999999</v>
      </c>
      <c r="V219" s="13">
        <v>3991.2</v>
      </c>
      <c r="W219" s="24">
        <v>3991.2</v>
      </c>
      <c r="X219" s="58" t="str">
        <f>HYPERLINK("http://drinc.ca.gov/DNN/Portals/0/SelfCert/76611df8-c18c-4276-aa9f-e7aed815a7fa.xlsx","WS1")</f>
        <v>WS1</v>
      </c>
      <c r="Y219" s="10" t="s">
        <v>284</v>
      </c>
      <c r="Z219" s="26" t="s">
        <v>13</v>
      </c>
      <c r="AA219" s="13">
        <v>0</v>
      </c>
      <c r="AB219" s="15">
        <v>0</v>
      </c>
      <c r="AC219" s="30" t="s">
        <v>14</v>
      </c>
      <c r="AD219" s="29"/>
      <c r="AE219" s="32"/>
      <c r="AF219" s="32"/>
      <c r="AG219" s="17"/>
      <c r="AH219" s="27"/>
      <c r="AI219" s="27"/>
      <c r="AJ219" s="11"/>
      <c r="AK219" s="58" t="str">
        <f>HYPERLINK("http://drinc.ca.gov/DNN/Portals/0/SelfCert/bf47e689-f6ec-43f3-a6cd-e47c934fe094.pdf","Cert")</f>
        <v>Cert</v>
      </c>
      <c r="AL219" s="58" t="str">
        <f>HYPERLINK("http://drinc.ca.gov/DNN/Portals/0/SelfCert/59e635a9-bb48-4952-9ff5-7799af86cdcb.docx","Analysis")</f>
        <v>Analysis</v>
      </c>
    </row>
    <row r="220" spans="1:38" s="19" customFormat="1" ht="14.4" customHeight="1" x14ac:dyDescent="0.3">
      <c r="A220" s="12" t="s">
        <v>650</v>
      </c>
      <c r="B220" s="68" t="s">
        <v>50</v>
      </c>
      <c r="C220" s="73">
        <v>68317.083333333328</v>
      </c>
      <c r="D220" s="14">
        <v>11322</v>
      </c>
      <c r="E220" s="14">
        <v>22024</v>
      </c>
      <c r="F220" s="18">
        <v>0</v>
      </c>
      <c r="G220" s="68" t="s">
        <v>776</v>
      </c>
      <c r="H220" s="64">
        <v>0.28000000000000003</v>
      </c>
      <c r="I220" s="64">
        <v>0.25</v>
      </c>
      <c r="J220" s="64">
        <v>0.27</v>
      </c>
      <c r="K220" s="71">
        <v>0.23588752951277103</v>
      </c>
      <c r="L220" s="65">
        <v>12338.1</v>
      </c>
      <c r="M220" s="65">
        <v>12338.1</v>
      </c>
      <c r="N220" s="13">
        <v>12338</v>
      </c>
      <c r="O220" s="13">
        <v>10306</v>
      </c>
      <c r="P220" s="30" t="s">
        <v>4</v>
      </c>
      <c r="Q220" s="13">
        <v>12338</v>
      </c>
      <c r="R220" s="13">
        <v>10306</v>
      </c>
      <c r="S220" s="23">
        <v>11322</v>
      </c>
      <c r="T220" s="41"/>
      <c r="U220" s="13">
        <v>23565</v>
      </c>
      <c r="V220" s="13">
        <v>21074</v>
      </c>
      <c r="W220" s="24">
        <v>22024</v>
      </c>
      <c r="X220" s="58" t="str">
        <f>HYPERLINK("https://drinc.ca.gov/DNN/Portals/0/SelfCert/048a6009-5d76-46fa-90af-4645f1d9cc89.xlsx","WS1")</f>
        <v>WS1</v>
      </c>
      <c r="Y220" s="10" t="s">
        <v>651</v>
      </c>
      <c r="Z220" s="26" t="s">
        <v>13</v>
      </c>
      <c r="AA220" s="13">
        <v>-10702</v>
      </c>
      <c r="AB220" s="66">
        <v>0</v>
      </c>
      <c r="AC220" s="30" t="s">
        <v>14</v>
      </c>
      <c r="AD220" s="29" t="s">
        <v>652</v>
      </c>
      <c r="AE220" s="32"/>
      <c r="AF220" s="32"/>
      <c r="AG220" s="17"/>
      <c r="AH220" s="27"/>
      <c r="AI220" s="27"/>
      <c r="AJ220" s="11"/>
      <c r="AK220" s="58" t="str">
        <f>HYPERLINK("https://drinc.ca.gov/DNN/Portals/0/SelfCert/245b1d75-09a6-4376-9592-aa1abfa0a24a.pdf","Cert")</f>
        <v>Cert</v>
      </c>
      <c r="AL220" s="58" t="str">
        <f>HYPERLINK("https://drinc.ca.gov/DNN/Portals/0/SelfCert/dc964b92-8c5e-45b9-8eb6-e88ea31ce49d.xlsx","Analysis")</f>
        <v>Analysis</v>
      </c>
    </row>
    <row r="221" spans="1:38" s="19" customFormat="1" ht="14.4" customHeight="1" x14ac:dyDescent="0.3">
      <c r="A221" s="12" t="s">
        <v>74</v>
      </c>
      <c r="B221" s="68" t="s">
        <v>50</v>
      </c>
      <c r="C221" s="73">
        <v>18808</v>
      </c>
      <c r="D221" s="14">
        <v>3705.8</v>
      </c>
      <c r="E221" s="14">
        <v>16152</v>
      </c>
      <c r="F221" s="18">
        <v>0</v>
      </c>
      <c r="G221" s="68" t="s">
        <v>776</v>
      </c>
      <c r="H221" s="64">
        <v>0.32</v>
      </c>
      <c r="I221" s="64">
        <v>0.28999999999999998</v>
      </c>
      <c r="J221" s="64">
        <v>0.3</v>
      </c>
      <c r="K221" s="71">
        <v>0.24315972011362796</v>
      </c>
      <c r="L221" s="65">
        <v>3889.4</v>
      </c>
      <c r="M221" s="65">
        <v>3889.4</v>
      </c>
      <c r="N221" s="13">
        <v>1267.9000000000001</v>
      </c>
      <c r="O221" s="13">
        <v>1147.2</v>
      </c>
      <c r="P221" s="30" t="s">
        <v>5</v>
      </c>
      <c r="Q221" s="13">
        <v>3891</v>
      </c>
      <c r="R221" s="13">
        <v>3520.6</v>
      </c>
      <c r="S221" s="23">
        <v>3705.8</v>
      </c>
      <c r="T221" s="41" t="s">
        <v>75</v>
      </c>
      <c r="U221" s="13">
        <v>16152</v>
      </c>
      <c r="V221" s="13">
        <v>16152</v>
      </c>
      <c r="W221" s="24">
        <v>16152</v>
      </c>
      <c r="X221" s="58" t="str">
        <f>HYPERLINK("http://drinc.ca.gov/DNN/Portals/0/SelfCert/997b6406-a667-4e42-afb2-608c1bb35664.xlsx","WS1")</f>
        <v>WS1</v>
      </c>
      <c r="Y221" s="10" t="s">
        <v>76</v>
      </c>
      <c r="Z221" s="26" t="s">
        <v>13</v>
      </c>
      <c r="AA221" s="13">
        <v>-12446.2</v>
      </c>
      <c r="AB221" s="66">
        <v>0</v>
      </c>
      <c r="AC221" s="30" t="s">
        <v>18</v>
      </c>
      <c r="AD221" s="29" t="s">
        <v>77</v>
      </c>
      <c r="AE221" s="32"/>
      <c r="AF221" s="32"/>
      <c r="AG221" s="17"/>
      <c r="AH221" s="27"/>
      <c r="AI221" s="27"/>
      <c r="AJ221" s="11"/>
      <c r="AK221" s="58" t="str">
        <f>HYPERLINK("http://drinc.ca.gov/DNN/Portals/0/SelfCert/1c8d1e56-0185-4276-af1c-e5af996a996f.pdf","Cert")</f>
        <v>Cert</v>
      </c>
      <c r="AL221" s="58" t="str">
        <f>HYPERLINK("http://drinc.ca.gov/DNN/Portals/0/SelfCert/2b8cff68-a939-4ae5-9cb0-56cad49cb6db.xlsx","Analysis")</f>
        <v>Analysis</v>
      </c>
    </row>
    <row r="222" spans="1:38" s="19" customFormat="1" ht="14.4" customHeight="1" x14ac:dyDescent="0.3">
      <c r="A222" s="12" t="s">
        <v>247</v>
      </c>
      <c r="B222" s="68" t="s">
        <v>27</v>
      </c>
      <c r="C222" s="73">
        <v>47584.833333333336</v>
      </c>
      <c r="D222" s="14">
        <v>7742.8</v>
      </c>
      <c r="E222" s="14">
        <v>6710</v>
      </c>
      <c r="F222" s="18">
        <v>0.13</v>
      </c>
      <c r="G222" s="68" t="s">
        <v>776</v>
      </c>
      <c r="H222" s="64">
        <v>0.28000000000000003</v>
      </c>
      <c r="I222" s="64">
        <v>0.26</v>
      </c>
      <c r="J222" s="64">
        <v>0.25</v>
      </c>
      <c r="K222" s="71">
        <v>0.180924925610635</v>
      </c>
      <c r="L222" s="65">
        <v>7974.4</v>
      </c>
      <c r="M222" s="65">
        <v>7974.4</v>
      </c>
      <c r="N222" s="13">
        <v>2605</v>
      </c>
      <c r="O222" s="13">
        <v>2441</v>
      </c>
      <c r="P222" s="30" t="s">
        <v>5</v>
      </c>
      <c r="Q222" s="13">
        <v>7994.4</v>
      </c>
      <c r="R222" s="13">
        <v>7491.1</v>
      </c>
      <c r="S222" s="23">
        <v>7742.8</v>
      </c>
      <c r="T222" s="41"/>
      <c r="U222" s="13">
        <v>6583</v>
      </c>
      <c r="V222" s="13">
        <v>6646</v>
      </c>
      <c r="W222" s="24">
        <v>6710</v>
      </c>
      <c r="X222" s="58" t="str">
        <f>HYPERLINK("http://drinc.ca.gov/DNN/Portals/0/SelfCert/8607578b-c589-4481-aa2e-66f5fae3ffe5.xlsx","WS1")</f>
        <v>WS1</v>
      </c>
      <c r="Y222" s="10"/>
      <c r="Z222" s="26" t="s">
        <v>13</v>
      </c>
      <c r="AA222" s="13">
        <v>1032.8</v>
      </c>
      <c r="AB222" s="15">
        <v>0.13</v>
      </c>
      <c r="AC222" s="30" t="s">
        <v>14</v>
      </c>
      <c r="AD222" s="29"/>
      <c r="AE222" s="32"/>
      <c r="AF222" s="32"/>
      <c r="AG222" s="17"/>
      <c r="AH222" s="27"/>
      <c r="AI222" s="27"/>
      <c r="AJ222" s="11"/>
      <c r="AK222" s="58" t="str">
        <f>HYPERLINK("http://drinc.ca.gov/DNN/Portals/0/SelfCert/9013deb8-efd1-46af-a767-c68d3e282995.pdf","Cert")</f>
        <v>Cert</v>
      </c>
      <c r="AL222" s="58" t="str">
        <f>HYPERLINK("http://drinc.ca.gov/DNN/Portals/0/SelfCert/230014f1-dffd-4b2f-b59f-78a27c188130.xlsx","Analysis")</f>
        <v>Analysis</v>
      </c>
    </row>
    <row r="223" spans="1:38" s="19" customFormat="1" ht="14.4" customHeight="1" x14ac:dyDescent="0.3">
      <c r="A223" s="12" t="s">
        <v>193</v>
      </c>
      <c r="B223" s="68" t="s">
        <v>16</v>
      </c>
      <c r="C223" s="73">
        <v>66274.166666666672</v>
      </c>
      <c r="D223" s="14">
        <v>16561</v>
      </c>
      <c r="E223" s="14">
        <v>16566</v>
      </c>
      <c r="F223" s="18">
        <v>0</v>
      </c>
      <c r="G223" s="68" t="s">
        <v>798</v>
      </c>
      <c r="H223" s="64">
        <v>0.28000000000000003</v>
      </c>
      <c r="I223" s="64">
        <v>0.21</v>
      </c>
      <c r="J223" s="64">
        <v>0.22</v>
      </c>
      <c r="K223" s="71">
        <v>0.24618705035971211</v>
      </c>
      <c r="L223" s="65">
        <v>16450.900000000001</v>
      </c>
      <c r="M223" s="65">
        <v>16450.900000000001</v>
      </c>
      <c r="N223" s="13">
        <v>16392</v>
      </c>
      <c r="O223" s="13">
        <v>16730</v>
      </c>
      <c r="P223" s="30" t="s">
        <v>4</v>
      </c>
      <c r="Q223" s="13">
        <v>16392</v>
      </c>
      <c r="R223" s="13">
        <v>16730</v>
      </c>
      <c r="S223" s="23">
        <v>16561</v>
      </c>
      <c r="T223" s="41"/>
      <c r="U223" s="13">
        <v>16561</v>
      </c>
      <c r="V223" s="13">
        <v>16561</v>
      </c>
      <c r="W223" s="24">
        <v>16561</v>
      </c>
      <c r="X223" s="58" t="str">
        <f>HYPERLINK("http://drinc.ca.gov/DNN/Portals/0/SelfCert/5bb52cf0-a7aa-4094-b68c-8352ee0ea0f9.xlsx","WS1")</f>
        <v>WS1</v>
      </c>
      <c r="Y223" s="10" t="s">
        <v>194</v>
      </c>
      <c r="Z223" s="26" t="s">
        <v>13</v>
      </c>
      <c r="AA223" s="13">
        <v>0</v>
      </c>
      <c r="AB223" s="15">
        <v>0</v>
      </c>
      <c r="AC223" s="30" t="s">
        <v>18</v>
      </c>
      <c r="AD223" s="29" t="s">
        <v>195</v>
      </c>
      <c r="AE223" s="32"/>
      <c r="AF223" s="32"/>
      <c r="AG223" s="17"/>
      <c r="AH223" s="27"/>
      <c r="AI223" s="27"/>
      <c r="AJ223" s="11"/>
      <c r="AK223" s="58" t="str">
        <f>HYPERLINK("http://drinc.ca.gov/DNN/Portals/0/SelfCert/e2ecae4b-a86d-4475-9894-29c4c4c3dec3.pdf","Cert")</f>
        <v>Cert</v>
      </c>
      <c r="AL223" s="58" t="str">
        <f>HYPERLINK("http://drinc.ca.gov/DNN/Portals/0/SelfCert/48dfd4fe-f2ea-4cc5-8464-fc7253ffaf95.docx","Analysis")</f>
        <v>Analysis</v>
      </c>
    </row>
    <row r="224" spans="1:38" s="19" customFormat="1" ht="14.4" customHeight="1" x14ac:dyDescent="0.3">
      <c r="A224" s="12" t="s">
        <v>494</v>
      </c>
      <c r="B224" s="68" t="s">
        <v>16</v>
      </c>
      <c r="C224" s="73">
        <v>90687</v>
      </c>
      <c r="D224" s="14">
        <v>22828.5</v>
      </c>
      <c r="E224" s="14">
        <v>22829</v>
      </c>
      <c r="F224" s="18">
        <v>0</v>
      </c>
      <c r="G224" s="68" t="s">
        <v>776</v>
      </c>
      <c r="H224" s="64">
        <v>0.28000000000000003</v>
      </c>
      <c r="I224" s="64">
        <v>0.26</v>
      </c>
      <c r="J224" s="64">
        <v>0.28000000000000003</v>
      </c>
      <c r="K224" s="71">
        <v>0.23813366756235221</v>
      </c>
      <c r="L224" s="65">
        <v>22032.9</v>
      </c>
      <c r="M224" s="65">
        <v>22032.9</v>
      </c>
      <c r="N224" s="13">
        <v>23350</v>
      </c>
      <c r="O224" s="13">
        <v>22307</v>
      </c>
      <c r="P224" s="30" t="s">
        <v>4</v>
      </c>
      <c r="Q224" s="13">
        <v>23350</v>
      </c>
      <c r="R224" s="13">
        <v>22307</v>
      </c>
      <c r="S224" s="23">
        <v>22828.5</v>
      </c>
      <c r="T224" s="41"/>
      <c r="U224" s="13">
        <v>22829</v>
      </c>
      <c r="V224" s="13">
        <v>22829</v>
      </c>
      <c r="W224" s="24">
        <v>22829</v>
      </c>
      <c r="X224" s="58" t="str">
        <f>HYPERLINK("http://drinc.ca.gov/DNN/Portals/0/SelfCert/ac8bd793-eb1d-49f6-9362-ba84c6d33d3d.xlsx","WS1")</f>
        <v>WS1</v>
      </c>
      <c r="Y224" s="10"/>
      <c r="Z224" s="26" t="s">
        <v>13</v>
      </c>
      <c r="AA224" s="13">
        <v>-0.5</v>
      </c>
      <c r="AB224" s="15">
        <v>0</v>
      </c>
      <c r="AC224" s="30" t="s">
        <v>14</v>
      </c>
      <c r="AD224" s="29"/>
      <c r="AE224" s="32"/>
      <c r="AF224" s="32"/>
      <c r="AG224" s="17"/>
      <c r="AH224" s="27"/>
      <c r="AI224" s="27"/>
      <c r="AJ224" s="11"/>
      <c r="AK224" s="58" t="str">
        <f>HYPERLINK("http://drinc.ca.gov/DNN/Portals/0/SelfCert/8aca6965-de7b-4520-9ba0-db85a6a1dc22.pdf","Cert")</f>
        <v>Cert</v>
      </c>
      <c r="AL224" s="58" t="str">
        <f>HYPERLINK("http://drinc.ca.gov/DNN/Portals/0/SelfCert/6769a7cd-f66e-438e-8e13-699acb51e905.docx","Analysis")</f>
        <v>Analysis</v>
      </c>
    </row>
    <row r="225" spans="1:38" s="19" customFormat="1" ht="14.4" customHeight="1" x14ac:dyDescent="0.3">
      <c r="A225" s="12" t="s">
        <v>507</v>
      </c>
      <c r="B225" s="68" t="s">
        <v>58</v>
      </c>
      <c r="C225" s="73">
        <v>18440</v>
      </c>
      <c r="D225" s="14">
        <v>2096.5</v>
      </c>
      <c r="E225" s="14">
        <v>3015.8</v>
      </c>
      <c r="F225" s="18">
        <v>0</v>
      </c>
      <c r="G225" s="68" t="s">
        <v>776</v>
      </c>
      <c r="H225" s="64">
        <v>0.04</v>
      </c>
      <c r="I225" s="64">
        <v>0.04</v>
      </c>
      <c r="J225" s="64">
        <v>0.06</v>
      </c>
      <c r="K225" s="72">
        <v>-9.7692629338199E-2</v>
      </c>
      <c r="L225" s="65">
        <v>2061.9</v>
      </c>
      <c r="M225" s="65">
        <v>2061.9</v>
      </c>
      <c r="N225" s="13">
        <v>2126.4</v>
      </c>
      <c r="O225" s="13">
        <v>2066.5</v>
      </c>
      <c r="P225" s="30" t="s">
        <v>4</v>
      </c>
      <c r="Q225" s="13">
        <v>2126.4</v>
      </c>
      <c r="R225" s="13">
        <v>2066.5</v>
      </c>
      <c r="S225" s="23">
        <v>2096.5</v>
      </c>
      <c r="T225" s="41"/>
      <c r="U225" s="13">
        <v>3030.6</v>
      </c>
      <c r="V225" s="13">
        <v>3011.9</v>
      </c>
      <c r="W225" s="24">
        <v>3015.8</v>
      </c>
      <c r="X225" s="58" t="str">
        <f>HYPERLINK("https://drinc.ca.gov/DNN/Portals/0/SelfCert/e91f77c7-9c2a-46a8-83c3-104c35add058.xlsx","WS1")</f>
        <v>WS1</v>
      </c>
      <c r="Y225" s="10"/>
      <c r="Z225" s="26" t="s">
        <v>13</v>
      </c>
      <c r="AA225" s="13">
        <v>-919.4</v>
      </c>
      <c r="AB225" s="66">
        <v>0</v>
      </c>
      <c r="AC225" s="30" t="s">
        <v>14</v>
      </c>
      <c r="AD225" s="29"/>
      <c r="AE225" s="32"/>
      <c r="AF225" s="32"/>
      <c r="AG225" s="17"/>
      <c r="AH225" s="27"/>
      <c r="AI225" s="27"/>
      <c r="AJ225" s="11"/>
      <c r="AK225" s="58" t="str">
        <f>HYPERLINK("https://drinc.ca.gov/DNN/Portals/0/SelfCert/559ed78a-d418-4008-a734-f306db4c8354.pdf","Cert")</f>
        <v>Cert</v>
      </c>
      <c r="AL225" s="58" t="str">
        <f>HYPERLINK("https://drinc.ca.gov/DNN/Portals/0/SelfCert/539147c3-bb82-422c-9202-17e94fb27833.docx","Analysis")</f>
        <v>Analysis</v>
      </c>
    </row>
    <row r="226" spans="1:38" s="19" customFormat="1" ht="14.4" customHeight="1" x14ac:dyDescent="0.3">
      <c r="A226" s="12" t="s">
        <v>370</v>
      </c>
      <c r="B226" s="68" t="s">
        <v>58</v>
      </c>
      <c r="C226" s="73">
        <v>18328.333333333332</v>
      </c>
      <c r="D226" s="14">
        <v>2584</v>
      </c>
      <c r="E226" s="14">
        <v>3666</v>
      </c>
      <c r="F226" s="18">
        <v>0</v>
      </c>
      <c r="G226" s="68" t="s">
        <v>776</v>
      </c>
      <c r="H226" s="64">
        <v>0.16</v>
      </c>
      <c r="I226" s="64">
        <v>0.16</v>
      </c>
      <c r="J226" s="64">
        <v>0.16</v>
      </c>
      <c r="K226" s="71">
        <v>0.14472683001065278</v>
      </c>
      <c r="L226" s="65">
        <v>2296.6999999999998</v>
      </c>
      <c r="M226" s="65">
        <v>2296.6999999999998</v>
      </c>
      <c r="N226" s="13">
        <v>2296</v>
      </c>
      <c r="O226" s="13">
        <v>2872</v>
      </c>
      <c r="P226" s="30" t="s">
        <v>4</v>
      </c>
      <c r="Q226" s="13">
        <v>2296</v>
      </c>
      <c r="R226" s="13">
        <v>2872</v>
      </c>
      <c r="S226" s="23">
        <v>2584</v>
      </c>
      <c r="T226" s="41" t="s">
        <v>371</v>
      </c>
      <c r="U226" s="13">
        <v>3666</v>
      </c>
      <c r="V226" s="13">
        <v>3666</v>
      </c>
      <c r="W226" s="24">
        <v>3666</v>
      </c>
      <c r="X226" s="58" t="str">
        <f>HYPERLINK("https://drinc.ca.gov/DNN/Portals/0/SelfCert/8634a562-34ff-4493-b7ed-58d651741fb5.xlsx","WS1")</f>
        <v>WS1</v>
      </c>
      <c r="Y226" s="10" t="s">
        <v>731</v>
      </c>
      <c r="Z226" s="26" t="s">
        <v>13</v>
      </c>
      <c r="AA226" s="13">
        <v>-1082</v>
      </c>
      <c r="AB226" s="66">
        <v>0</v>
      </c>
      <c r="AC226" s="30" t="s">
        <v>14</v>
      </c>
      <c r="AD226" s="29"/>
      <c r="AE226" s="32"/>
      <c r="AF226" s="32"/>
      <c r="AG226" s="17"/>
      <c r="AH226" s="27"/>
      <c r="AI226" s="27"/>
      <c r="AJ226" s="11"/>
      <c r="AK226" s="58" t="str">
        <f>HYPERLINK("https://drinc.ca.gov/DNN/Portals/0/SelfCert/97093499-18f2-4a96-915b-ef6e02ffee52.pdf","Cert")</f>
        <v>Cert</v>
      </c>
      <c r="AL226" s="58" t="str">
        <f>HYPERLINK("https://drinc.ca.gov/DNN/Portals/0/SelfCert/35ace517-be90-4cbd-95ba-443b68a32bd0.docx","Analysis")</f>
        <v>Analysis</v>
      </c>
    </row>
    <row r="227" spans="1:38" s="19" customFormat="1" ht="14.4" customHeight="1" x14ac:dyDescent="0.3">
      <c r="A227" s="12" t="s">
        <v>379</v>
      </c>
      <c r="B227" s="68" t="s">
        <v>11</v>
      </c>
      <c r="C227" s="73">
        <v>7577.916666666667</v>
      </c>
      <c r="D227" s="14">
        <v>704.5</v>
      </c>
      <c r="E227" s="14">
        <v>1449.4</v>
      </c>
      <c r="F227" s="18">
        <v>0</v>
      </c>
      <c r="G227" s="68" t="s">
        <v>776</v>
      </c>
      <c r="H227" s="64">
        <v>0.08</v>
      </c>
      <c r="I227" s="64">
        <v>0.08</v>
      </c>
      <c r="J227" s="64">
        <v>0.22</v>
      </c>
      <c r="K227" s="71">
        <v>5.8111585501629204E-2</v>
      </c>
      <c r="L227" s="65">
        <v>744.8</v>
      </c>
      <c r="M227" s="65">
        <v>744.8</v>
      </c>
      <c r="N227" s="13">
        <v>324443.09999999998</v>
      </c>
      <c r="O227" s="13">
        <v>289329.7</v>
      </c>
      <c r="P227" s="30" t="s">
        <v>9</v>
      </c>
      <c r="Q227" s="13">
        <v>744.8</v>
      </c>
      <c r="R227" s="13">
        <v>664.2</v>
      </c>
      <c r="S227" s="23">
        <v>704.5</v>
      </c>
      <c r="T227" s="41"/>
      <c r="U227" s="13">
        <v>1683.2</v>
      </c>
      <c r="V227" s="13">
        <v>1095.5999999999999</v>
      </c>
      <c r="W227" s="24">
        <v>1449.4</v>
      </c>
      <c r="X227" s="58" t="str">
        <f>HYPERLINK("https://drinc.ca.gov/DNN/Portals/0/SelfCert/b05502d3-c1b6-47ad-834f-7efcbbe8a8dc.xlsx","WS1")</f>
        <v>WS1</v>
      </c>
      <c r="Y227" s="10" t="s">
        <v>380</v>
      </c>
      <c r="Z227" s="26" t="s">
        <v>13</v>
      </c>
      <c r="AA227" s="13">
        <v>-744.9</v>
      </c>
      <c r="AB227" s="66">
        <v>0</v>
      </c>
      <c r="AC227" s="30" t="s">
        <v>14</v>
      </c>
      <c r="AD227" s="29"/>
      <c r="AE227" s="32"/>
      <c r="AF227" s="32"/>
      <c r="AG227" s="17"/>
      <c r="AH227" s="27"/>
      <c r="AI227" s="27"/>
      <c r="AJ227" s="11"/>
      <c r="AK227" s="58" t="str">
        <f>HYPERLINK("https://drinc.ca.gov/DNN/Portals/0/SelfCert/3a1aee91-a931-4b27-88c2-5c6e7ba0aed8.pdf","Cert")</f>
        <v>Cert</v>
      </c>
      <c r="AL227" s="58" t="str">
        <f>HYPERLINK("https://drinc.ca.gov/DNN/Portals/0/SelfCert/ca35b3d9-83b0-4224-be34-b6cedebde454.xlsx","Analysis")</f>
        <v>Analysis</v>
      </c>
    </row>
    <row r="228" spans="1:38" s="19" customFormat="1" ht="14.4" customHeight="1" x14ac:dyDescent="0.3">
      <c r="A228" s="12" t="s">
        <v>401</v>
      </c>
      <c r="B228" s="68" t="s">
        <v>16</v>
      </c>
      <c r="C228" s="73">
        <v>34989.083333333336</v>
      </c>
      <c r="D228" s="14">
        <v>6659</v>
      </c>
      <c r="E228" s="14">
        <v>6659</v>
      </c>
      <c r="F228" s="18">
        <v>0</v>
      </c>
      <c r="G228" s="68" t="s">
        <v>776</v>
      </c>
      <c r="H228" s="64">
        <v>0.24</v>
      </c>
      <c r="I228" s="64">
        <v>0.24</v>
      </c>
      <c r="J228" s="64">
        <v>0.27</v>
      </c>
      <c r="K228" s="71">
        <v>0.29511811023622037</v>
      </c>
      <c r="L228" s="65">
        <v>6701.5</v>
      </c>
      <c r="M228" s="65">
        <v>6701.5</v>
      </c>
      <c r="N228" s="13">
        <v>6701</v>
      </c>
      <c r="O228" s="13">
        <v>6617</v>
      </c>
      <c r="P228" s="30" t="s">
        <v>4</v>
      </c>
      <c r="Q228" s="13">
        <v>6701</v>
      </c>
      <c r="R228" s="13">
        <v>6617</v>
      </c>
      <c r="S228" s="23">
        <v>6659</v>
      </c>
      <c r="T228" s="41"/>
      <c r="U228" s="13">
        <v>6659</v>
      </c>
      <c r="V228" s="13">
        <v>6659</v>
      </c>
      <c r="W228" s="24">
        <v>6659</v>
      </c>
      <c r="X228" s="58" t="str">
        <f>HYPERLINK("http://drinc.ca.gov/DNN/Portals/0/SelfCert/e4391632-ef22-4e77-b1d2-eb84cd08a59c.xlsx","WS1")</f>
        <v>WS1</v>
      </c>
      <c r="Y228" s="10" t="s">
        <v>402</v>
      </c>
      <c r="Z228" s="26" t="s">
        <v>13</v>
      </c>
      <c r="AA228" s="13">
        <v>0</v>
      </c>
      <c r="AB228" s="15">
        <v>0</v>
      </c>
      <c r="AC228" s="30" t="s">
        <v>18</v>
      </c>
      <c r="AD228" s="29" t="s">
        <v>403</v>
      </c>
      <c r="AE228" s="32"/>
      <c r="AF228" s="32"/>
      <c r="AG228" s="17"/>
      <c r="AH228" s="27"/>
      <c r="AI228" s="27"/>
      <c r="AJ228" s="11"/>
      <c r="AK228" s="58" t="str">
        <f>HYPERLINK("http://drinc.ca.gov/DNN/Portals/0/SelfCert/556017bb-aae3-4cb7-ab7a-47da0d55d20a.pdf","Cert")</f>
        <v>Cert</v>
      </c>
      <c r="AL228" s="58" t="str">
        <f>HYPERLINK("http://drinc.ca.gov/DNN/Portals/0/SelfCert/4092ed26-81af-4e1f-8bd6-edb7a8f1559a.xlsx","Analysis")</f>
        <v>Analysis</v>
      </c>
    </row>
    <row r="229" spans="1:38" s="19" customFormat="1" ht="14.4" customHeight="1" x14ac:dyDescent="0.3">
      <c r="A229" s="12" t="s">
        <v>685</v>
      </c>
      <c r="B229" s="68" t="s">
        <v>16</v>
      </c>
      <c r="C229" s="73">
        <v>139463</v>
      </c>
      <c r="D229" s="14">
        <v>31608.5</v>
      </c>
      <c r="E229" s="14">
        <v>32598</v>
      </c>
      <c r="F229" s="18">
        <v>0</v>
      </c>
      <c r="G229" s="68" t="s">
        <v>798</v>
      </c>
      <c r="H229" s="64">
        <v>0.28000000000000003</v>
      </c>
      <c r="I229" s="64">
        <v>0.21</v>
      </c>
      <c r="J229" s="64">
        <v>0.26</v>
      </c>
      <c r="K229" s="71">
        <v>0.22627908536176489</v>
      </c>
      <c r="L229" s="65">
        <v>31701.4</v>
      </c>
      <c r="M229" s="65">
        <v>31701.4</v>
      </c>
      <c r="N229" s="13">
        <v>31701.4</v>
      </c>
      <c r="O229" s="13">
        <v>31515.599999999999</v>
      </c>
      <c r="P229" s="30" t="s">
        <v>4</v>
      </c>
      <c r="Q229" s="13">
        <v>31701.4</v>
      </c>
      <c r="R229" s="13">
        <v>31515.599999999999</v>
      </c>
      <c r="S229" s="35">
        <v>31608.5</v>
      </c>
      <c r="T229" s="41"/>
      <c r="U229" s="13">
        <v>32586</v>
      </c>
      <c r="V229" s="13">
        <v>32586</v>
      </c>
      <c r="W229" s="24">
        <v>32586</v>
      </c>
      <c r="X229" s="58" t="str">
        <f>HYPERLINK("http://drinc.ca.gov/DNN/Portals/0/SelfCert/c53fe5db-c508-438e-98a4-7f5e23cd977f.xlsx","WS1")</f>
        <v>WS1</v>
      </c>
      <c r="Y229" s="10"/>
      <c r="Z229" s="26" t="s">
        <v>13</v>
      </c>
      <c r="AA229" s="45">
        <v>-977.5</v>
      </c>
      <c r="AB229" s="77">
        <v>0</v>
      </c>
      <c r="AC229" s="78" t="s">
        <v>14</v>
      </c>
      <c r="AD229" s="76"/>
      <c r="AE229" s="32">
        <v>31608.5</v>
      </c>
      <c r="AF229" s="32">
        <v>32586</v>
      </c>
      <c r="AG229" s="47">
        <v>0</v>
      </c>
      <c r="AH229" s="53" t="str">
        <f>HYPERLINK("http://drinc.ca.gov/DNN/Portals/0/SelfCert/b11448b2-777a-4d36-9175-f28c4660edd6.xlsx","WS2")</f>
        <v>WS2</v>
      </c>
      <c r="AI229" s="53" t="str">
        <f>HYPERLINK("http://drinc.ca.gov/DNN/Portals/0/SelfCert/5ccf6ea3-9088-41de-befc-627f55edd8c8.pdf","Legal")</f>
        <v>Legal</v>
      </c>
      <c r="AJ229" s="42"/>
      <c r="AK229" s="58" t="str">
        <f>HYPERLINK("http://drinc.ca.gov/DNN/Portals/0/SelfCert/beae89fd-1c22-4e9e-8430-3dce469ad983.pdf","Cert")</f>
        <v>Cert</v>
      </c>
      <c r="AL229" s="58" t="str">
        <f>HYPERLINK("http://drinc.ca.gov/DNN/Portals/0/SelfCert/2a9efc58-eb56-43ac-b516-35772320aff2.xlsx","Analysis")</f>
        <v>Analysis</v>
      </c>
    </row>
    <row r="230" spans="1:38" s="19" customFormat="1" ht="14.4" customHeight="1" x14ac:dyDescent="0.3">
      <c r="A230" s="12" t="s">
        <v>222</v>
      </c>
      <c r="B230" s="68" t="s">
        <v>50</v>
      </c>
      <c r="C230" s="73">
        <v>36226</v>
      </c>
      <c r="D230" s="14">
        <v>10925</v>
      </c>
      <c r="E230" s="14">
        <v>11040</v>
      </c>
      <c r="F230" s="18">
        <v>0</v>
      </c>
      <c r="G230" s="68" t="s">
        <v>828</v>
      </c>
      <c r="H230" s="64">
        <v>0.36</v>
      </c>
      <c r="I230" s="64">
        <v>0.33</v>
      </c>
      <c r="J230" s="64">
        <v>0.36</v>
      </c>
      <c r="K230" s="71">
        <v>0.22047217763509896</v>
      </c>
      <c r="L230" s="65">
        <v>12258.9</v>
      </c>
      <c r="M230" s="65">
        <v>12258.9</v>
      </c>
      <c r="N230" s="13">
        <v>12259</v>
      </c>
      <c r="O230" s="13">
        <v>9591</v>
      </c>
      <c r="P230" s="30" t="s">
        <v>4</v>
      </c>
      <c r="Q230" s="65">
        <v>12259</v>
      </c>
      <c r="R230" s="65">
        <v>9591</v>
      </c>
      <c r="S230" s="23">
        <v>10925</v>
      </c>
      <c r="T230" s="41" t="s">
        <v>223</v>
      </c>
      <c r="U230" s="13">
        <v>18600</v>
      </c>
      <c r="V230" s="13">
        <v>12888</v>
      </c>
      <c r="W230" s="24">
        <v>11040</v>
      </c>
      <c r="X230" s="58" t="str">
        <f>HYPERLINK("http://drinc.ca.gov/DNN/Portals/0/SelfCert/9077b5e8-efab-4dbe-a9bd-499fc12557be.xlsx","WS1")</f>
        <v>WS1</v>
      </c>
      <c r="Y230" s="10" t="s">
        <v>224</v>
      </c>
      <c r="Z230" s="26" t="s">
        <v>13</v>
      </c>
      <c r="AA230" s="13">
        <v>-115</v>
      </c>
      <c r="AB230" s="15">
        <v>0</v>
      </c>
      <c r="AC230" s="30" t="s">
        <v>18</v>
      </c>
      <c r="AD230" s="29" t="s">
        <v>225</v>
      </c>
      <c r="AE230" s="32"/>
      <c r="AF230" s="32"/>
      <c r="AG230" s="17"/>
      <c r="AH230" s="27"/>
      <c r="AI230" s="27"/>
      <c r="AJ230" s="11"/>
      <c r="AK230" s="58" t="str">
        <f>HYPERLINK("http://drinc.ca.gov/DNN/Portals/0/SelfCert/f3365761-6c6d-48e7-a904-0329755365f3.pdf","Cert")</f>
        <v>Cert</v>
      </c>
      <c r="AL230" s="58" t="str">
        <f>HYPERLINK("http://drinc.ca.gov/DNN/Portals/0/SelfCert/c2e6f07f-0208-45d2-a7e5-a521cc0d6d69.docx","Analysis")</f>
        <v>Analysis</v>
      </c>
    </row>
    <row r="231" spans="1:38" s="19" customFormat="1" ht="14.4" customHeight="1" x14ac:dyDescent="0.3">
      <c r="A231" s="12" t="s">
        <v>52</v>
      </c>
      <c r="B231" s="68" t="s">
        <v>16</v>
      </c>
      <c r="C231" s="73">
        <v>67700</v>
      </c>
      <c r="D231" s="14">
        <v>12186.5</v>
      </c>
      <c r="E231" s="14">
        <v>12186</v>
      </c>
      <c r="F231" s="18">
        <v>0</v>
      </c>
      <c r="G231" s="68" t="s">
        <v>776</v>
      </c>
      <c r="H231" s="64">
        <v>0.28000000000000003</v>
      </c>
      <c r="I231" s="64">
        <v>0.21</v>
      </c>
      <c r="J231" s="64">
        <v>0.26</v>
      </c>
      <c r="K231" s="71">
        <v>0.25117174422497479</v>
      </c>
      <c r="L231" s="65">
        <v>12220.1</v>
      </c>
      <c r="M231" s="65">
        <v>12220.1</v>
      </c>
      <c r="N231" s="13">
        <v>12304</v>
      </c>
      <c r="O231" s="13">
        <v>12069</v>
      </c>
      <c r="P231" s="30" t="s">
        <v>4</v>
      </c>
      <c r="Q231" s="13">
        <v>12304</v>
      </c>
      <c r="R231" s="13">
        <v>12069</v>
      </c>
      <c r="S231" s="23">
        <v>12186.5</v>
      </c>
      <c r="T231" s="41"/>
      <c r="U231" s="13">
        <v>12186</v>
      </c>
      <c r="V231" s="13">
        <v>12186</v>
      </c>
      <c r="W231" s="24">
        <v>12186</v>
      </c>
      <c r="X231" s="58" t="str">
        <f>HYPERLINK("http://drinc.ca.gov/DNN/Portals/0/SelfCert/53093c81-93e8-4348-a930-2ccdd36cc8d7.xlsx","WS1")</f>
        <v>WS1</v>
      </c>
      <c r="Y231" s="10" t="s">
        <v>53</v>
      </c>
      <c r="Z231" s="26" t="s">
        <v>13</v>
      </c>
      <c r="AA231" s="13">
        <v>0.5</v>
      </c>
      <c r="AB231" s="15">
        <v>0</v>
      </c>
      <c r="AC231" s="30" t="s">
        <v>18</v>
      </c>
      <c r="AD231" s="29" t="s">
        <v>54</v>
      </c>
      <c r="AE231" s="32"/>
      <c r="AF231" s="32"/>
      <c r="AG231" s="17"/>
      <c r="AH231" s="27"/>
      <c r="AI231" s="27"/>
      <c r="AJ231" s="11"/>
      <c r="AK231" s="58" t="str">
        <f>HYPERLINK("http://drinc.ca.gov/DNN/Portals/0/SelfCert/f0ee5c15-2ed7-4106-b6d8-e6d12d259a39.pdf","Cert")</f>
        <v>Cert</v>
      </c>
      <c r="AL231" s="58" t="str">
        <f>HYPERLINK("http://drinc.ca.gov/DNN/Portals/0/SelfCert/cf17418e-b7a5-4fcf-8544-d6fd50534174.xlsx","Analysis")</f>
        <v>Analysis</v>
      </c>
    </row>
    <row r="232" spans="1:38" s="19" customFormat="1" ht="14.4" customHeight="1" x14ac:dyDescent="0.3">
      <c r="A232" s="12" t="s">
        <v>114</v>
      </c>
      <c r="B232" s="68" t="s">
        <v>16</v>
      </c>
      <c r="C232" s="73">
        <v>25561</v>
      </c>
      <c r="D232" s="14">
        <v>3792</v>
      </c>
      <c r="E232" s="14">
        <v>3794</v>
      </c>
      <c r="F232" s="18">
        <v>0</v>
      </c>
      <c r="G232" s="68" t="s">
        <v>798</v>
      </c>
      <c r="H232" s="64">
        <v>0.08</v>
      </c>
      <c r="I232" s="64">
        <v>0.12</v>
      </c>
      <c r="J232" s="64">
        <v>0.17</v>
      </c>
      <c r="K232" s="71">
        <v>0.18997361477572561</v>
      </c>
      <c r="L232" s="65">
        <v>3815</v>
      </c>
      <c r="M232" s="65">
        <v>3815</v>
      </c>
      <c r="N232" s="13">
        <v>3802</v>
      </c>
      <c r="O232" s="13">
        <v>3782</v>
      </c>
      <c r="P232" s="30" t="s">
        <v>4</v>
      </c>
      <c r="Q232" s="13">
        <v>3802</v>
      </c>
      <c r="R232" s="13">
        <v>3782</v>
      </c>
      <c r="S232" s="23">
        <v>3792</v>
      </c>
      <c r="T232" s="41"/>
      <c r="U232" s="13">
        <v>3792</v>
      </c>
      <c r="V232" s="13">
        <v>3792</v>
      </c>
      <c r="W232" s="24">
        <v>3792</v>
      </c>
      <c r="X232" s="58" t="str">
        <f>HYPERLINK("https://drinc.ca.gov/DNN/Portals/0/SelfCert/6d28e23b-4b8b-4b14-a5f2-f19536791b82.xlsx","WS1")</f>
        <v>WS1</v>
      </c>
      <c r="Y232" s="10" t="s">
        <v>115</v>
      </c>
      <c r="Z232" s="26" t="s">
        <v>13</v>
      </c>
      <c r="AA232" s="13">
        <v>0</v>
      </c>
      <c r="AB232" s="15">
        <v>0</v>
      </c>
      <c r="AC232" s="30" t="s">
        <v>14</v>
      </c>
      <c r="AD232" s="29"/>
      <c r="AE232" s="32"/>
      <c r="AF232" s="32"/>
      <c r="AG232" s="17"/>
      <c r="AH232" s="27"/>
      <c r="AI232" s="27"/>
      <c r="AJ232" s="11"/>
      <c r="AK232" s="58" t="str">
        <f>HYPERLINK("https://drinc.ca.gov/DNN/Portals/0/SelfCert/cc1b5ea7-9029-482b-835d-2c1b1db78062.pdf","Cert")</f>
        <v>Cert</v>
      </c>
      <c r="AL232" s="58" t="str">
        <f>HYPERLINK("https://drinc.ca.gov/DNN/Portals/0/SelfCert/12c581b1-a0c0-431c-9525-a62bdd63d934.xlsx","Analysis")</f>
        <v>Analysis</v>
      </c>
    </row>
    <row r="233" spans="1:38" s="19" customFormat="1" ht="14.4" customHeight="1" x14ac:dyDescent="0.3">
      <c r="A233" s="12" t="s">
        <v>488</v>
      </c>
      <c r="B233" s="68" t="s">
        <v>16</v>
      </c>
      <c r="C233" s="73">
        <v>53619.666666666664</v>
      </c>
      <c r="D233" s="14">
        <v>10032.5</v>
      </c>
      <c r="E233" s="14">
        <v>10032</v>
      </c>
      <c r="F233" s="18">
        <v>0</v>
      </c>
      <c r="G233" s="68" t="s">
        <v>776</v>
      </c>
      <c r="H233" s="64">
        <v>0.24</v>
      </c>
      <c r="I233" s="64">
        <v>0.24</v>
      </c>
      <c r="J233" s="64">
        <v>0.25</v>
      </c>
      <c r="K233" s="71">
        <v>0.28649342316329807</v>
      </c>
      <c r="L233" s="65">
        <v>9317.6</v>
      </c>
      <c r="M233" s="65">
        <v>9317.6</v>
      </c>
      <c r="N233" s="13">
        <v>10041</v>
      </c>
      <c r="O233" s="13">
        <v>10024</v>
      </c>
      <c r="P233" s="30" t="s">
        <v>4</v>
      </c>
      <c r="Q233" s="13">
        <v>10041</v>
      </c>
      <c r="R233" s="13">
        <v>10024</v>
      </c>
      <c r="S233" s="23">
        <v>10032.5</v>
      </c>
      <c r="T233" s="41"/>
      <c r="U233" s="13">
        <v>10032</v>
      </c>
      <c r="V233" s="13">
        <v>10032</v>
      </c>
      <c r="W233" s="24">
        <v>10032</v>
      </c>
      <c r="X233" s="58" t="str">
        <f>HYPERLINK("http://www.drinc.ca.gov/DNN/Portals/0/SelfCert/a5b12830-b1f5-40ff-93c9-337cb7dfaf08.xlsx","WS1")</f>
        <v>WS1</v>
      </c>
      <c r="Y233" s="10" t="s">
        <v>489</v>
      </c>
      <c r="Z233" s="26" t="s">
        <v>13</v>
      </c>
      <c r="AA233" s="13">
        <v>0.5</v>
      </c>
      <c r="AB233" s="15">
        <v>0</v>
      </c>
      <c r="AC233" s="30" t="s">
        <v>18</v>
      </c>
      <c r="AD233" s="29" t="s">
        <v>490</v>
      </c>
      <c r="AE233" s="32"/>
      <c r="AF233" s="32"/>
      <c r="AG233" s="17"/>
      <c r="AH233" s="27"/>
      <c r="AI233" s="27"/>
      <c r="AJ233" s="11"/>
      <c r="AK233" s="58" t="str">
        <f>HYPERLINK("http://www.drinc.ca.gov/DNN/Portals/0/SelfCert/2dd9d4e5-da48-475f-8b8f-f5acf1b87f21.pdf","Cert")</f>
        <v>Cert</v>
      </c>
      <c r="AL233" s="58" t="str">
        <f>HYPERLINK("http://www.drinc.ca.gov/DNN/Portals/0/SelfCert/7c183083-cbc7-41f3-8354-dc208f3d6f7c.doc","Analysis")</f>
        <v>Analysis</v>
      </c>
    </row>
    <row r="234" spans="1:38" s="19" customFormat="1" ht="14.4" customHeight="1" x14ac:dyDescent="0.3">
      <c r="A234" s="12" t="s">
        <v>614</v>
      </c>
      <c r="B234" s="68" t="s">
        <v>16</v>
      </c>
      <c r="C234" s="73">
        <v>110000</v>
      </c>
      <c r="D234" s="14">
        <v>20185</v>
      </c>
      <c r="E234" s="14">
        <v>19573</v>
      </c>
      <c r="F234" s="18">
        <v>0.03</v>
      </c>
      <c r="G234" s="68" t="s">
        <v>776</v>
      </c>
      <c r="H234" s="64">
        <v>0.2</v>
      </c>
      <c r="I234" s="64">
        <v>0.18</v>
      </c>
      <c r="J234" s="64">
        <v>0.21</v>
      </c>
      <c r="K234" s="71">
        <v>0.19821832240290294</v>
      </c>
      <c r="L234" s="65">
        <v>20742.400000000001</v>
      </c>
      <c r="M234" s="65">
        <v>20742.400000000001</v>
      </c>
      <c r="N234" s="13">
        <v>20742</v>
      </c>
      <c r="O234" s="13">
        <v>19628</v>
      </c>
      <c r="P234" s="30" t="s">
        <v>4</v>
      </c>
      <c r="Q234" s="13">
        <v>20742</v>
      </c>
      <c r="R234" s="13">
        <v>19628</v>
      </c>
      <c r="S234" s="23">
        <v>20185</v>
      </c>
      <c r="T234" s="41"/>
      <c r="U234" s="13">
        <v>20181</v>
      </c>
      <c r="V234" s="13">
        <v>19032</v>
      </c>
      <c r="W234" s="24">
        <v>19573</v>
      </c>
      <c r="X234" s="58" t="str">
        <f>HYPERLINK("http://www.drinc.ca.gov/DNN/Portals/0/SelfCert/0d9cd84a-e662-47b8-90dc-56f1f4476556.xlsx","WS1")</f>
        <v>WS1</v>
      </c>
      <c r="Y234" s="10"/>
      <c r="Z234" s="26" t="s">
        <v>13</v>
      </c>
      <c r="AA234" s="13">
        <v>612</v>
      </c>
      <c r="AB234" s="15">
        <v>0.03</v>
      </c>
      <c r="AC234" s="30" t="s">
        <v>18</v>
      </c>
      <c r="AD234" s="29"/>
      <c r="AE234" s="32"/>
      <c r="AF234" s="32"/>
      <c r="AG234" s="17"/>
      <c r="AH234" s="27"/>
      <c r="AI234" s="27"/>
      <c r="AJ234" s="11"/>
      <c r="AK234" s="58" t="str">
        <f>HYPERLINK("http://www.drinc.ca.gov/DNN/Portals/0/SelfCert/e3e067db-e23c-48b9-a25a-400cd1b5e51b.pdf","Cert")</f>
        <v>Cert</v>
      </c>
      <c r="AL234" s="58" t="str">
        <f>HYPERLINK("http://www.drinc.ca.gov/DNN/Portals/0/SelfCert/98c5b621-5483-4dd8-ab21-97bdcffc9995.xls","Analysis")</f>
        <v>Analysis</v>
      </c>
    </row>
    <row r="235" spans="1:38" s="19" customFormat="1" ht="14.4" customHeight="1" x14ac:dyDescent="0.3">
      <c r="A235" s="12" t="s">
        <v>471</v>
      </c>
      <c r="B235" s="68" t="s">
        <v>16</v>
      </c>
      <c r="C235" s="73">
        <v>85068</v>
      </c>
      <c r="D235" s="14">
        <v>10997.5</v>
      </c>
      <c r="E235" s="14">
        <v>10950</v>
      </c>
      <c r="F235" s="18">
        <v>0</v>
      </c>
      <c r="G235" s="68" t="s">
        <v>776</v>
      </c>
      <c r="H235" s="64">
        <v>0.24</v>
      </c>
      <c r="I235" s="64">
        <v>0.22</v>
      </c>
      <c r="J235" s="64">
        <v>0.23</v>
      </c>
      <c r="K235" s="71">
        <v>0.26165933618802195</v>
      </c>
      <c r="L235" s="65">
        <v>11282.3</v>
      </c>
      <c r="M235" s="65">
        <v>11282.3</v>
      </c>
      <c r="N235" s="13">
        <v>11282.3</v>
      </c>
      <c r="O235" s="13">
        <v>10712.6</v>
      </c>
      <c r="P235" s="30" t="s">
        <v>4</v>
      </c>
      <c r="Q235" s="13">
        <v>11282.3</v>
      </c>
      <c r="R235" s="13">
        <v>10712.6</v>
      </c>
      <c r="S235" s="23">
        <v>10997.5</v>
      </c>
      <c r="T235" s="41"/>
      <c r="U235" s="13">
        <v>11400</v>
      </c>
      <c r="V235" s="13">
        <v>10950</v>
      </c>
      <c r="W235" s="24">
        <v>10950</v>
      </c>
      <c r="X235" s="58" t="str">
        <f>HYPERLINK("http://www.drinc.ca.gov/DNN/Portals/0/SelfCert/63a9427f-8870-4497-98a6-83f196093d3a.xlsx","WS1")</f>
        <v>WS1</v>
      </c>
      <c r="Y235" s="10"/>
      <c r="Z235" s="26" t="s">
        <v>13</v>
      </c>
      <c r="AA235" s="13">
        <v>47.5</v>
      </c>
      <c r="AB235" s="15">
        <v>0</v>
      </c>
      <c r="AC235" s="30" t="s">
        <v>18</v>
      </c>
      <c r="AD235" s="29" t="s">
        <v>472</v>
      </c>
      <c r="AE235" s="32"/>
      <c r="AF235" s="32"/>
      <c r="AG235" s="17"/>
      <c r="AH235" s="27"/>
      <c r="AI235" s="27"/>
      <c r="AJ235" s="11"/>
      <c r="AK235" s="58" t="str">
        <f>HYPERLINK("http://www.drinc.ca.gov/DNN/Portals/0/SelfCert/ec30ceb7-5e34-49f3-aacc-4b081420efb9.pdf","Cert")</f>
        <v>Cert</v>
      </c>
      <c r="AL235" s="58" t="str">
        <f>HYPERLINK("http://www.drinc.ca.gov/DNN/Portals/0/SelfCert/ce426ed2-884f-4487-b161-dea42d9e570e.xlsx","Analysis")</f>
        <v>Analysis</v>
      </c>
    </row>
    <row r="236" spans="1:38" s="19" customFormat="1" ht="14.4" customHeight="1" x14ac:dyDescent="0.3">
      <c r="A236" s="12" t="s">
        <v>453</v>
      </c>
      <c r="B236" s="68" t="s">
        <v>11</v>
      </c>
      <c r="C236" s="73">
        <v>62602</v>
      </c>
      <c r="D236" s="14">
        <v>12298.5</v>
      </c>
      <c r="E236" s="14">
        <v>12309</v>
      </c>
      <c r="F236" s="18">
        <v>0</v>
      </c>
      <c r="G236" s="68" t="s">
        <v>798</v>
      </c>
      <c r="H236" s="64">
        <v>0.28000000000000003</v>
      </c>
      <c r="I236" s="64">
        <v>0.24</v>
      </c>
      <c r="J236" s="64">
        <v>0.28000000000000003</v>
      </c>
      <c r="K236" s="71">
        <v>0.3236028556661068</v>
      </c>
      <c r="L236" s="65">
        <v>12280</v>
      </c>
      <c r="M236" s="65">
        <v>12280</v>
      </c>
      <c r="N236" s="13">
        <v>12279</v>
      </c>
      <c r="O236" s="13">
        <v>12318</v>
      </c>
      <c r="P236" s="30" t="s">
        <v>4</v>
      </c>
      <c r="Q236" s="13">
        <v>12279</v>
      </c>
      <c r="R236" s="13">
        <v>12318</v>
      </c>
      <c r="S236" s="34">
        <v>12298.5</v>
      </c>
      <c r="T236" s="41"/>
      <c r="U236" s="13">
        <v>13610</v>
      </c>
      <c r="V236" s="13">
        <v>13610</v>
      </c>
      <c r="W236" s="24">
        <v>13610</v>
      </c>
      <c r="X236" s="58" t="str">
        <f>HYPERLINK("https://drinc.ca.gov/DNN/Portals/0/SelfCert/e808fe56-eee1-4da5-8080-225d8f5ae6a6.xlsx","WS1")</f>
        <v>WS1</v>
      </c>
      <c r="Y236" s="10" t="s">
        <v>454</v>
      </c>
      <c r="Z236" s="26" t="s">
        <v>13</v>
      </c>
      <c r="AA236" s="31">
        <v>-1311.5</v>
      </c>
      <c r="AB236" s="66">
        <v>0</v>
      </c>
      <c r="AC236" s="30" t="s">
        <v>18</v>
      </c>
      <c r="AD236" s="29" t="s">
        <v>455</v>
      </c>
      <c r="AE236" s="32"/>
      <c r="AF236" s="32"/>
      <c r="AG236" s="17"/>
      <c r="AH236" s="36"/>
      <c r="AI236" s="36"/>
      <c r="AJ236" s="11"/>
      <c r="AK236" s="58" t="str">
        <f>HYPERLINK("https://drinc.ca.gov/DNN/Portals/0/SelfCert/ad6d4dea-3576-4ad3-b61e-5687d8c677f1.pdf","Cert")</f>
        <v>Cert</v>
      </c>
      <c r="AL236" s="58" t="str">
        <f>HYPERLINK("https://drinc.ca.gov/DNN/Portals/0/SelfCert/24d9f1c5-5178-4ef0-8c80-738537708cfb.xlsx","Analysis")</f>
        <v>Analysis</v>
      </c>
    </row>
    <row r="237" spans="1:38" s="19" customFormat="1" ht="14.4" customHeight="1" x14ac:dyDescent="0.3">
      <c r="A237" s="12" t="s">
        <v>314</v>
      </c>
      <c r="B237" s="68" t="s">
        <v>16</v>
      </c>
      <c r="C237" s="73">
        <v>51609</v>
      </c>
      <c r="D237" s="14">
        <v>12303.6</v>
      </c>
      <c r="E237" s="14">
        <v>12304</v>
      </c>
      <c r="F237" s="18">
        <v>0</v>
      </c>
      <c r="G237" s="68" t="s">
        <v>776</v>
      </c>
      <c r="H237" s="64">
        <v>0.28000000000000003</v>
      </c>
      <c r="I237" s="64">
        <v>0.26</v>
      </c>
      <c r="J237" s="64">
        <v>0.31</v>
      </c>
      <c r="K237" s="71">
        <v>0.25837664934026394</v>
      </c>
      <c r="L237" s="65">
        <v>12849.9</v>
      </c>
      <c r="M237" s="65">
        <v>12849.9</v>
      </c>
      <c r="N237" s="13">
        <v>12649.5</v>
      </c>
      <c r="O237" s="13">
        <v>11957.7</v>
      </c>
      <c r="P237" s="30" t="s">
        <v>4</v>
      </c>
      <c r="Q237" s="13">
        <v>12649.5</v>
      </c>
      <c r="R237" s="13">
        <v>11957.7</v>
      </c>
      <c r="S237" s="34">
        <v>12303.6</v>
      </c>
      <c r="T237" s="41"/>
      <c r="U237" s="13">
        <v>12304</v>
      </c>
      <c r="V237" s="13">
        <v>12304</v>
      </c>
      <c r="W237" s="24">
        <v>12304</v>
      </c>
      <c r="X237" s="58" t="str">
        <f>HYPERLINK("http://drinc.ca.gov/DNN/Portals/0/SelfCert/94f5d0ec-fa78-41be-9ab6-f519318d2514.xlsx","WS1")</f>
        <v>WS1</v>
      </c>
      <c r="Y237" s="10"/>
      <c r="Z237" s="26" t="s">
        <v>13</v>
      </c>
      <c r="AA237" s="31">
        <v>-0.4</v>
      </c>
      <c r="AB237" s="15">
        <v>0</v>
      </c>
      <c r="AC237" s="30" t="s">
        <v>14</v>
      </c>
      <c r="AD237" s="29" t="s">
        <v>698</v>
      </c>
      <c r="AE237" s="32"/>
      <c r="AF237" s="32"/>
      <c r="AG237" s="17"/>
      <c r="AH237" s="36"/>
      <c r="AI237" s="36"/>
      <c r="AJ237" s="11"/>
      <c r="AK237" s="58" t="str">
        <f>HYPERLINK("http://drinc.ca.gov/DNN/Portals/0/SelfCert/407aca75-469f-4c71-a3f0-94b1a3c4c7fa.pdf","Cert")</f>
        <v>Cert</v>
      </c>
      <c r="AL237" s="58" t="str">
        <f>HYPERLINK("http://drinc.ca.gov/DNN/Portals/0/SelfCert/df45049e-536d-4f9c-a1a3-1f41ea1e6fde.xlsx","Analysis")</f>
        <v>Analysis</v>
      </c>
    </row>
    <row r="238" spans="1:38" s="19" customFormat="1" ht="14.4" customHeight="1" x14ac:dyDescent="0.3">
      <c r="A238" s="12" t="s">
        <v>65</v>
      </c>
      <c r="B238" s="68" t="s">
        <v>16</v>
      </c>
      <c r="C238" s="73">
        <v>42927.5</v>
      </c>
      <c r="D238" s="14">
        <v>12115</v>
      </c>
      <c r="E238" s="14">
        <v>12115</v>
      </c>
      <c r="F238" s="18">
        <v>0</v>
      </c>
      <c r="G238" s="68" t="s">
        <v>776</v>
      </c>
      <c r="H238" s="64">
        <v>0.32</v>
      </c>
      <c r="I238" s="64">
        <v>0.32</v>
      </c>
      <c r="J238" s="64">
        <v>0.2</v>
      </c>
      <c r="K238" s="71">
        <v>0.19907149489322185</v>
      </c>
      <c r="L238" s="65">
        <v>12106.7</v>
      </c>
      <c r="M238" s="65">
        <v>12106.7</v>
      </c>
      <c r="N238" s="13">
        <v>12107</v>
      </c>
      <c r="O238" s="13">
        <v>12123</v>
      </c>
      <c r="P238" s="30" t="s">
        <v>4</v>
      </c>
      <c r="Q238" s="13">
        <v>12107</v>
      </c>
      <c r="R238" s="13">
        <v>12123</v>
      </c>
      <c r="S238" s="34">
        <v>12115</v>
      </c>
      <c r="T238" s="41"/>
      <c r="U238" s="13">
        <v>12115</v>
      </c>
      <c r="V238" s="13">
        <v>12115</v>
      </c>
      <c r="W238" s="24">
        <v>12115</v>
      </c>
      <c r="X238" s="58" t="str">
        <f>HYPERLINK("http://drinc.ca.gov/DNN/Portals/0/SelfCert/d852c102-8822-4791-9a0f-897c879d3401.xlsx","WS1")</f>
        <v>WS1</v>
      </c>
      <c r="Y238" s="10"/>
      <c r="Z238" s="26" t="s">
        <v>13</v>
      </c>
      <c r="AA238" s="31">
        <v>0</v>
      </c>
      <c r="AB238" s="15">
        <v>0</v>
      </c>
      <c r="AC238" s="30" t="s">
        <v>18</v>
      </c>
      <c r="AD238" s="29" t="s">
        <v>66</v>
      </c>
      <c r="AE238" s="32"/>
      <c r="AF238" s="32"/>
      <c r="AG238" s="17"/>
      <c r="AH238" s="36"/>
      <c r="AI238" s="36"/>
      <c r="AJ238" s="11"/>
      <c r="AK238" s="58" t="str">
        <f>HYPERLINK("http://drinc.ca.gov/DNN/Portals/0/SelfCert/5870b877-d643-458e-8e20-664bd5995ef1.PDF","Cert")</f>
        <v>Cert</v>
      </c>
      <c r="AL238" s="58" t="str">
        <f>HYPERLINK("http://drinc.ca.gov/DNN/Portals/0/SelfCert/4388fb48-9b5d-4a53-91f5-0da1529dfed3.docx","Analysis")</f>
        <v>Analysis</v>
      </c>
    </row>
    <row r="239" spans="1:38" s="19" customFormat="1" ht="14.4" customHeight="1" x14ac:dyDescent="0.3">
      <c r="A239" s="12" t="s">
        <v>552</v>
      </c>
      <c r="B239" s="68" t="s">
        <v>16</v>
      </c>
      <c r="C239" s="73">
        <v>7254</v>
      </c>
      <c r="D239" s="14">
        <v>2877.2</v>
      </c>
      <c r="E239" s="14">
        <v>2902</v>
      </c>
      <c r="F239" s="18">
        <v>0</v>
      </c>
      <c r="G239" s="68" t="s">
        <v>776</v>
      </c>
      <c r="H239" s="64">
        <v>0.36</v>
      </c>
      <c r="I239" s="64">
        <v>0.28999999999999998</v>
      </c>
      <c r="J239" s="64">
        <v>0.33</v>
      </c>
      <c r="K239" s="71">
        <v>0.29795918367346941</v>
      </c>
      <c r="L239" s="65">
        <v>2883.3</v>
      </c>
      <c r="M239" s="65">
        <v>2883.3</v>
      </c>
      <c r="N239" s="13">
        <v>2883.5</v>
      </c>
      <c r="O239" s="13">
        <v>2870.8</v>
      </c>
      <c r="P239" s="30" t="s">
        <v>4</v>
      </c>
      <c r="Q239" s="13">
        <v>2883.5</v>
      </c>
      <c r="R239" s="13">
        <v>2870.8</v>
      </c>
      <c r="S239" s="34">
        <v>2877.2</v>
      </c>
      <c r="T239" s="41"/>
      <c r="U239" s="13">
        <v>2902</v>
      </c>
      <c r="V239" s="13">
        <v>2902</v>
      </c>
      <c r="W239" s="24">
        <v>2902</v>
      </c>
      <c r="X239" s="58" t="str">
        <f>HYPERLINK("http://drinc.ca.gov/DNN/Portals/0/SelfCert/30624aba-480f-4c18-854f-f70c81741f20.xlsx","WS1")</f>
        <v>WS1</v>
      </c>
      <c r="Y239" s="10"/>
      <c r="Z239" s="26" t="s">
        <v>13</v>
      </c>
      <c r="AA239" s="31">
        <v>-24.9</v>
      </c>
      <c r="AB239" s="66">
        <v>0</v>
      </c>
      <c r="AC239" s="30" t="s">
        <v>14</v>
      </c>
      <c r="AD239" s="29" t="s">
        <v>21</v>
      </c>
      <c r="AE239" s="32"/>
      <c r="AF239" s="32"/>
      <c r="AG239" s="17"/>
      <c r="AH239" s="36"/>
      <c r="AI239" s="36"/>
      <c r="AJ239" s="11"/>
      <c r="AK239" s="58" t="str">
        <f>HYPERLINK("http://drinc.ca.gov/DNN/Portals/0/SelfCert/b82b9807-2785-459f-a1fd-3d28a7d46129.pdf","Cert")</f>
        <v>Cert</v>
      </c>
      <c r="AL239" s="58" t="str">
        <f>HYPERLINK("http://drinc.ca.gov/DNN/Portals/0/SelfCert/be68f1bb-f4d1-4744-a806-306cf189ab54.xlsx","Analysis")</f>
        <v>Analysis</v>
      </c>
    </row>
    <row r="240" spans="1:38" s="19" customFormat="1" ht="14.4" customHeight="1" x14ac:dyDescent="0.3">
      <c r="A240" s="12" t="s">
        <v>451</v>
      </c>
      <c r="B240" s="68" t="s">
        <v>11</v>
      </c>
      <c r="C240" s="73">
        <v>126189.08333333333</v>
      </c>
      <c r="D240" s="14">
        <v>23431.5</v>
      </c>
      <c r="E240" s="14">
        <v>23405</v>
      </c>
      <c r="F240" s="18">
        <v>0</v>
      </c>
      <c r="G240" s="68" t="s">
        <v>798</v>
      </c>
      <c r="H240" s="64">
        <v>0.28000000000000003</v>
      </c>
      <c r="I240" s="64">
        <v>0.24</v>
      </c>
      <c r="J240" s="64">
        <v>0.25</v>
      </c>
      <c r="K240" s="71">
        <v>0.2073790166473094</v>
      </c>
      <c r="L240" s="65">
        <v>23910</v>
      </c>
      <c r="M240" s="65">
        <v>23910</v>
      </c>
      <c r="N240" s="13">
        <v>23443</v>
      </c>
      <c r="O240" s="13">
        <v>23420</v>
      </c>
      <c r="P240" s="30" t="s">
        <v>4</v>
      </c>
      <c r="Q240" s="13">
        <v>23443</v>
      </c>
      <c r="R240" s="13">
        <v>23420</v>
      </c>
      <c r="S240" s="23">
        <v>23431.5</v>
      </c>
      <c r="T240" s="41"/>
      <c r="U240" s="13">
        <v>22249</v>
      </c>
      <c r="V240" s="13">
        <v>222970</v>
      </c>
      <c r="W240" s="24">
        <v>23888</v>
      </c>
      <c r="X240" s="58" t="str">
        <f>HYPERLINK("https://drinc.ca.gov/DNN/Portals/0/SelfCert/753f296f-b726-4757-98a1-1bbadf13e2ca.xlsx","WS1")</f>
        <v>WS1</v>
      </c>
      <c r="Y240" s="10"/>
      <c r="Z240" s="26" t="s">
        <v>13</v>
      </c>
      <c r="AA240" s="13">
        <v>-456.5</v>
      </c>
      <c r="AB240" s="66">
        <v>0</v>
      </c>
      <c r="AC240" s="30" t="s">
        <v>18</v>
      </c>
      <c r="AD240" s="29"/>
      <c r="AE240" s="32"/>
      <c r="AF240" s="32"/>
      <c r="AG240" s="17"/>
      <c r="AH240" s="27"/>
      <c r="AI240" s="27"/>
      <c r="AJ240" s="11"/>
      <c r="AK240" s="58" t="str">
        <f>HYPERLINK("https://drinc.ca.gov/DNN/Portals/0/SelfCert/e2fef63b-d9a8-4a05-8250-e43c4e580282.pdf","Cert")</f>
        <v>Cert</v>
      </c>
      <c r="AL240" s="58" t="str">
        <f>HYPERLINK("https://drinc.ca.gov/DNN/Portals/0/SelfCert/93cfde34-e3fc-4ffa-9d6b-e22700dbed1b.docx","Analysis")</f>
        <v>Analysis</v>
      </c>
    </row>
    <row r="241" spans="1:38" s="19" customFormat="1" ht="14.4" customHeight="1" x14ac:dyDescent="0.3">
      <c r="A241" s="12" t="s">
        <v>377</v>
      </c>
      <c r="B241" s="68" t="s">
        <v>16</v>
      </c>
      <c r="C241" s="73">
        <v>152684.41666666666</v>
      </c>
      <c r="D241" s="14">
        <v>22874.7</v>
      </c>
      <c r="E241" s="14">
        <v>28532.400000000001</v>
      </c>
      <c r="F241" s="18">
        <v>0</v>
      </c>
      <c r="G241" s="68" t="s">
        <v>776</v>
      </c>
      <c r="H241" s="64">
        <v>0.2</v>
      </c>
      <c r="I241" s="64">
        <v>0.18</v>
      </c>
      <c r="J241" s="64">
        <v>0.23</v>
      </c>
      <c r="K241" s="71">
        <v>0.18136460186630843</v>
      </c>
      <c r="L241" s="65">
        <v>23062.7</v>
      </c>
      <c r="M241" s="65">
        <v>23062.7</v>
      </c>
      <c r="N241" s="13">
        <v>23062.7</v>
      </c>
      <c r="O241" s="13">
        <v>22686.7</v>
      </c>
      <c r="P241" s="30" t="s">
        <v>4</v>
      </c>
      <c r="Q241" s="13">
        <v>23062.7</v>
      </c>
      <c r="R241" s="13">
        <v>22686.7</v>
      </c>
      <c r="S241" s="34">
        <v>22874.7</v>
      </c>
      <c r="T241" s="41" t="s">
        <v>68</v>
      </c>
      <c r="U241" s="13">
        <v>28363.5</v>
      </c>
      <c r="V241" s="13">
        <v>28447.1</v>
      </c>
      <c r="W241" s="24">
        <v>28532.400000000001</v>
      </c>
      <c r="X241" s="58" t="str">
        <f>HYPERLINK("http://drinc.ca.gov/DNN/Portals/0/SelfCert/9c7ba4c5-9486-402a-b4be-a7ed0afca890.xlsx","WS1")</f>
        <v>WS1</v>
      </c>
      <c r="Y241" s="10" t="s">
        <v>68</v>
      </c>
      <c r="Z241" s="26" t="s">
        <v>13</v>
      </c>
      <c r="AA241" s="31">
        <v>-5657.7</v>
      </c>
      <c r="AB241" s="66">
        <v>0</v>
      </c>
      <c r="AC241" s="30" t="s">
        <v>18</v>
      </c>
      <c r="AD241" s="29" t="s">
        <v>378</v>
      </c>
      <c r="AE241" s="32"/>
      <c r="AF241" s="32"/>
      <c r="AG241" s="17"/>
      <c r="AH241" s="36"/>
      <c r="AI241" s="36"/>
      <c r="AJ241" s="11"/>
      <c r="AK241" s="58" t="str">
        <f>HYPERLINK("http://drinc.ca.gov/DNN/Portals/0/SelfCert/5809d2b7-aba4-4303-9840-c2f6183630a6.pdf","Cert")</f>
        <v>Cert</v>
      </c>
      <c r="AL241" s="58" t="str">
        <f>HYPERLINK("http://drinc.ca.gov/DNN/Portals/0/SelfCert/67368923-87c3-44a9-90c8-cf056cb62c6f.xlsx","Analysis")</f>
        <v>Analysis</v>
      </c>
    </row>
    <row r="242" spans="1:38" s="19" customFormat="1" ht="14.4" customHeight="1" x14ac:dyDescent="0.3">
      <c r="A242" s="12" t="s">
        <v>385</v>
      </c>
      <c r="B242" s="68" t="s">
        <v>16</v>
      </c>
      <c r="C242" s="73">
        <v>113236</v>
      </c>
      <c r="D242" s="14">
        <v>21122</v>
      </c>
      <c r="E242" s="14">
        <v>21284</v>
      </c>
      <c r="F242" s="18">
        <v>0</v>
      </c>
      <c r="G242" s="68" t="s">
        <v>776</v>
      </c>
      <c r="H242" s="64">
        <v>0.28000000000000003</v>
      </c>
      <c r="I242" s="64">
        <v>0.26</v>
      </c>
      <c r="J242" s="64">
        <v>0.25</v>
      </c>
      <c r="K242" s="71" t="s">
        <v>822</v>
      </c>
      <c r="L242" s="65">
        <v>20809.8</v>
      </c>
      <c r="M242" s="65">
        <v>20809.8</v>
      </c>
      <c r="N242" s="13">
        <v>21809</v>
      </c>
      <c r="O242" s="13">
        <v>20435</v>
      </c>
      <c r="P242" s="30" t="s">
        <v>4</v>
      </c>
      <c r="Q242" s="13">
        <v>21809</v>
      </c>
      <c r="R242" s="13">
        <v>20435</v>
      </c>
      <c r="S242" s="23">
        <v>21122</v>
      </c>
      <c r="T242" s="41"/>
      <c r="U242" s="13">
        <v>21284</v>
      </c>
      <c r="V242" s="13">
        <v>21284</v>
      </c>
      <c r="W242" s="24">
        <v>21284</v>
      </c>
      <c r="X242" s="58" t="str">
        <f>HYPERLINK("https://drinc.ca.gov/DNN/Portals/0/SelfCert/b6954c5b-becd-4919-97f3-8334b5525b95.xlsx","WS1")</f>
        <v>WS1</v>
      </c>
      <c r="Y242" s="10"/>
      <c r="Z242" s="26" t="s">
        <v>13</v>
      </c>
      <c r="AA242" s="13">
        <v>-162</v>
      </c>
      <c r="AB242" s="66">
        <v>0</v>
      </c>
      <c r="AC242" s="30" t="s">
        <v>14</v>
      </c>
      <c r="AD242" s="29" t="s">
        <v>386</v>
      </c>
      <c r="AE242" s="32"/>
      <c r="AF242" s="32"/>
      <c r="AG242" s="17"/>
      <c r="AH242" s="27"/>
      <c r="AI242" s="27"/>
      <c r="AJ242" s="11"/>
      <c r="AK242" s="58" t="str">
        <f>HYPERLINK("https://drinc.ca.gov/DNN/Portals/0/SelfCert/aa9ebcba-26f7-491a-806a-56a3f8ea0c5e.pdf","Cert")</f>
        <v>Cert</v>
      </c>
      <c r="AL242" s="58" t="str">
        <f>HYPERLINK("https://drinc.ca.gov/DNN/Portals/0/SelfCert/1ccacc37-1aab-41bb-9cf7-bf75f00cff3a.docx","Analysis")</f>
        <v>Analysis</v>
      </c>
    </row>
    <row r="243" spans="1:38" s="19" customFormat="1" ht="14.4" customHeight="1" x14ac:dyDescent="0.3">
      <c r="A243" s="12" t="s">
        <v>271</v>
      </c>
      <c r="B243" s="68" t="s">
        <v>50</v>
      </c>
      <c r="C243" s="73">
        <v>201418</v>
      </c>
      <c r="D243" s="14">
        <v>32642.799999999999</v>
      </c>
      <c r="E243" s="14">
        <v>32642.799999999999</v>
      </c>
      <c r="F243" s="18">
        <v>0</v>
      </c>
      <c r="G243" s="68" t="s">
        <v>776</v>
      </c>
      <c r="H243" s="64">
        <v>0.2</v>
      </c>
      <c r="I243" s="64">
        <v>0.17</v>
      </c>
      <c r="J243" s="64">
        <v>0.36</v>
      </c>
      <c r="K243" s="71">
        <v>0.2847730600292826</v>
      </c>
      <c r="L243" s="65">
        <v>36392</v>
      </c>
      <c r="M243" s="65">
        <v>36392</v>
      </c>
      <c r="N243" s="13">
        <v>36497.199999999997</v>
      </c>
      <c r="O243" s="13">
        <v>28788.3</v>
      </c>
      <c r="P243" s="30" t="s">
        <v>4</v>
      </c>
      <c r="Q243" s="13">
        <v>36497.199999999997</v>
      </c>
      <c r="R243" s="13">
        <v>28788.3</v>
      </c>
      <c r="S243" s="34">
        <v>32642.799999999999</v>
      </c>
      <c r="T243" s="41"/>
      <c r="U243" s="13">
        <v>32642.799999999999</v>
      </c>
      <c r="V243" s="13">
        <v>32642.799999999999</v>
      </c>
      <c r="W243" s="24">
        <v>32642.799999999999</v>
      </c>
      <c r="X243" s="58" t="str">
        <f>HYPERLINK("https://drinc.ca.gov/DNN/Portals/0/SelfCert/eea98dcf-d381-46cd-a02d-933b8de5b3ea.xlsx","WS1")</f>
        <v>WS1</v>
      </c>
      <c r="Y243" s="10" t="s">
        <v>272</v>
      </c>
      <c r="Z243" s="26" t="s">
        <v>13</v>
      </c>
      <c r="AA243" s="31">
        <v>-0.1</v>
      </c>
      <c r="AB243" s="15">
        <v>0</v>
      </c>
      <c r="AC243" s="30" t="s">
        <v>18</v>
      </c>
      <c r="AD243" s="29" t="s">
        <v>273</v>
      </c>
      <c r="AE243" s="32"/>
      <c r="AF243" s="32"/>
      <c r="AG243" s="17"/>
      <c r="AH243" s="36"/>
      <c r="AI243" s="36"/>
      <c r="AJ243" s="11"/>
      <c r="AK243" s="58" t="str">
        <f>HYPERLINK("https://drinc.ca.gov/DNN/Portals/0/SelfCert/cb2c3cea-c4d2-4e69-9257-463055a0ae05.pdf","Cert")</f>
        <v>Cert</v>
      </c>
      <c r="AL243" s="58" t="str">
        <f>HYPERLINK("https://drinc.ca.gov/DNN/Portals/0/SelfCert/d7713b20-33ae-4a2e-916a-889823cb7921.xlsx","Analysis")</f>
        <v>Analysis</v>
      </c>
    </row>
    <row r="244" spans="1:38" s="19" customFormat="1" ht="14.4" customHeight="1" x14ac:dyDescent="0.3">
      <c r="A244" s="12" t="s">
        <v>673</v>
      </c>
      <c r="B244" s="68" t="s">
        <v>16</v>
      </c>
      <c r="C244" s="73">
        <v>38703</v>
      </c>
      <c r="D244" s="14">
        <v>11764.5</v>
      </c>
      <c r="E244" s="14">
        <v>11765.1</v>
      </c>
      <c r="F244" s="18">
        <v>0</v>
      </c>
      <c r="G244" s="68" t="s">
        <v>776</v>
      </c>
      <c r="H244" s="64">
        <v>0.32</v>
      </c>
      <c r="I244" s="64">
        <v>0.3</v>
      </c>
      <c r="J244" s="64">
        <v>0.27</v>
      </c>
      <c r="K244" s="71">
        <v>0.25032351989647372</v>
      </c>
      <c r="L244" s="65">
        <v>12147.6</v>
      </c>
      <c r="M244" s="65">
        <v>12147.6</v>
      </c>
      <c r="N244" s="13">
        <v>12149.6</v>
      </c>
      <c r="O244" s="13">
        <v>11379.4</v>
      </c>
      <c r="P244" s="30" t="s">
        <v>4</v>
      </c>
      <c r="Q244" s="13">
        <v>12149.6</v>
      </c>
      <c r="R244" s="13">
        <v>11379.4</v>
      </c>
      <c r="S244" s="23">
        <v>11764.5</v>
      </c>
      <c r="T244" s="41"/>
      <c r="U244" s="13">
        <v>11765.1</v>
      </c>
      <c r="V244" s="13">
        <v>11765.1</v>
      </c>
      <c r="W244" s="24">
        <v>11765.1</v>
      </c>
      <c r="X244" s="58" t="str">
        <f>HYPERLINK("http://drinc.ca.gov/DNN/Portals/0/SelfCert/2a5ecb8c-dbd5-4f2a-96c6-8f7637e78bec.xlsx","WS1")</f>
        <v>WS1</v>
      </c>
      <c r="Y244" s="10"/>
      <c r="Z244" s="26" t="s">
        <v>13</v>
      </c>
      <c r="AA244" s="13">
        <v>-0.6</v>
      </c>
      <c r="AB244" s="15">
        <v>0</v>
      </c>
      <c r="AC244" s="30" t="s">
        <v>14</v>
      </c>
      <c r="AD244" s="29"/>
      <c r="AE244" s="32"/>
      <c r="AF244" s="32"/>
      <c r="AG244" s="17"/>
      <c r="AH244" s="27"/>
      <c r="AI244" s="27"/>
      <c r="AJ244" s="11"/>
      <c r="AK244" s="58" t="str">
        <f>HYPERLINK("http://drinc.ca.gov/DNN/Portals/0/SelfCert/b7babaa0-3e94-4e8e-9a6b-645a21616274.pdf","Cert")</f>
        <v>Cert</v>
      </c>
      <c r="AL244" s="58" t="str">
        <f>HYPERLINK("http://drinc.ca.gov/DNN/Portals/0/SelfCert/9239ed2f-7786-445c-b8b2-429b98e84a0e.xlsx","Analysis")</f>
        <v>Analysis</v>
      </c>
    </row>
    <row r="245" spans="1:38" s="19" customFormat="1" ht="14.4" customHeight="1" x14ac:dyDescent="0.3">
      <c r="A245" s="12" t="s">
        <v>105</v>
      </c>
      <c r="B245" s="68" t="s">
        <v>40</v>
      </c>
      <c r="C245" s="73">
        <v>99640.333333333328</v>
      </c>
      <c r="D245" s="14">
        <v>11749.1</v>
      </c>
      <c r="E245" s="14">
        <v>26032</v>
      </c>
      <c r="F245" s="18">
        <v>0</v>
      </c>
      <c r="G245" s="68" t="s">
        <v>776</v>
      </c>
      <c r="H245" s="64">
        <v>0.2</v>
      </c>
      <c r="I245" s="64">
        <v>0.2</v>
      </c>
      <c r="J245" s="64">
        <v>0.33</v>
      </c>
      <c r="K245" s="71">
        <v>0.26143070736657625</v>
      </c>
      <c r="L245" s="65">
        <v>12608.7</v>
      </c>
      <c r="M245" s="65">
        <v>12608.7</v>
      </c>
      <c r="N245" s="13">
        <v>12608.7</v>
      </c>
      <c r="O245" s="13">
        <v>10889.4</v>
      </c>
      <c r="P245" s="30" t="s">
        <v>4</v>
      </c>
      <c r="Q245" s="13">
        <v>12608.7</v>
      </c>
      <c r="R245" s="13">
        <v>10889.4</v>
      </c>
      <c r="S245" s="23">
        <v>11749.1</v>
      </c>
      <c r="T245" s="41"/>
      <c r="U245" s="13">
        <v>26032</v>
      </c>
      <c r="V245" s="13">
        <v>26032</v>
      </c>
      <c r="W245" s="24">
        <v>26032</v>
      </c>
      <c r="X245" s="58" t="str">
        <f>HYPERLINK("http://drinc.ca.gov/DNN/Portals/0/SelfCert/61e704e3-06e0-443a-baae-3fd5b7b612a8.xlsx","WS1")</f>
        <v>WS1</v>
      </c>
      <c r="Y245" s="10" t="s">
        <v>106</v>
      </c>
      <c r="Z245" s="26" t="s">
        <v>13</v>
      </c>
      <c r="AA245" s="13">
        <v>-14282.9</v>
      </c>
      <c r="AB245" s="66">
        <v>0</v>
      </c>
      <c r="AC245" s="30" t="s">
        <v>18</v>
      </c>
      <c r="AD245" s="29" t="s">
        <v>107</v>
      </c>
      <c r="AE245" s="32"/>
      <c r="AF245" s="32"/>
      <c r="AG245" s="17"/>
      <c r="AH245" s="27"/>
      <c r="AI245" s="27"/>
      <c r="AJ245" s="11"/>
      <c r="AK245" s="58" t="str">
        <f>HYPERLINK("http://drinc.ca.gov/DNN/Portals/0/SelfCert/74d59b39-a385-4833-99f6-be65546f60bc.pdf","Cert")</f>
        <v>Cert</v>
      </c>
      <c r="AL245" s="58" t="str">
        <f>HYPERLINK("http://drinc.ca.gov/DNN/Portals/0/SelfCert/df888803-db72-4a18-9940-cf14c3ec55fe.xlsx","Analysis")</f>
        <v>Analysis</v>
      </c>
    </row>
    <row r="246" spans="1:38" s="19" customFormat="1" ht="14.4" customHeight="1" x14ac:dyDescent="0.3">
      <c r="A246" s="12" t="s">
        <v>643</v>
      </c>
      <c r="B246" s="68" t="s">
        <v>16</v>
      </c>
      <c r="C246" s="73">
        <v>85863.5</v>
      </c>
      <c r="D246" s="14">
        <v>17831.5</v>
      </c>
      <c r="E246" s="14">
        <v>19235</v>
      </c>
      <c r="F246" s="18">
        <v>0</v>
      </c>
      <c r="G246" s="68" t="s">
        <v>830</v>
      </c>
      <c r="H246" s="64">
        <v>0.28000000000000003</v>
      </c>
      <c r="I246" s="64">
        <v>0.2</v>
      </c>
      <c r="J246" s="64">
        <v>0.22</v>
      </c>
      <c r="K246" s="71">
        <v>0.22586057275094029</v>
      </c>
      <c r="L246" s="65">
        <v>17489.3</v>
      </c>
      <c r="M246" s="65">
        <v>17489.3</v>
      </c>
      <c r="N246" s="13">
        <v>17489</v>
      </c>
      <c r="O246" s="13">
        <v>18174</v>
      </c>
      <c r="P246" s="30" t="s">
        <v>4</v>
      </c>
      <c r="Q246" s="13">
        <v>17489</v>
      </c>
      <c r="R246" s="13">
        <v>18174</v>
      </c>
      <c r="S246" s="23">
        <v>17831.5</v>
      </c>
      <c r="T246" s="41"/>
      <c r="U246" s="13">
        <v>19157</v>
      </c>
      <c r="V246" s="13">
        <v>19043</v>
      </c>
      <c r="W246" s="24">
        <v>19235</v>
      </c>
      <c r="X246" s="58" t="str">
        <f>HYPERLINK("https://drinc.ca.gov/DNN/Portals/0/SelfCert/7fe1e7a0-9335-4cba-bbad-3032d97f70ad.xlsx","WS1")</f>
        <v>WS1</v>
      </c>
      <c r="Y246" s="10"/>
      <c r="Z246" s="52" t="s">
        <v>31</v>
      </c>
      <c r="AA246" s="32">
        <v>-1403.5</v>
      </c>
      <c r="AB246" s="47">
        <v>0</v>
      </c>
      <c r="AC246" s="16" t="s">
        <v>18</v>
      </c>
      <c r="AD246" s="74" t="s">
        <v>644</v>
      </c>
      <c r="AE246" s="45"/>
      <c r="AF246" s="45"/>
      <c r="AG246" s="75"/>
      <c r="AH246" s="38" t="s">
        <v>777</v>
      </c>
      <c r="AI246" s="37" t="str">
        <f>HYPERLINK("http://drinc.ca.gov/DNN/Portals/0/SelfCert/dfd724de-f543-4896-8cc4-e778ead3f440.pdf","Legal")</f>
        <v>Legal</v>
      </c>
      <c r="AJ246" s="76"/>
      <c r="AK246" s="58" t="str">
        <f>HYPERLINK("https://drinc.ca.gov/DNN/Portals/0/SelfCert/751b65e1-98da-4e50-aa6e-ae0478a6e620.pdf","Cert")</f>
        <v>Cert</v>
      </c>
      <c r="AL246" s="58" t="str">
        <f>HYPERLINK("https://drinc.ca.gov/DNN/Portals/0/SelfCert/e5a7cf03-463f-450d-8b04-dc6ad7fc2cd2.xlsx","Analysis")</f>
        <v>Analysis</v>
      </c>
    </row>
    <row r="247" spans="1:38" s="19" customFormat="1" ht="14.4" customHeight="1" x14ac:dyDescent="0.3">
      <c r="A247" s="12" t="s">
        <v>246</v>
      </c>
      <c r="B247" s="68" t="s">
        <v>16</v>
      </c>
      <c r="C247" s="73">
        <v>46543</v>
      </c>
      <c r="D247" s="14">
        <v>7551.9</v>
      </c>
      <c r="E247" s="14">
        <v>7569</v>
      </c>
      <c r="F247" s="18">
        <v>0</v>
      </c>
      <c r="G247" s="68" t="s">
        <v>776</v>
      </c>
      <c r="H247" s="64">
        <v>0.24</v>
      </c>
      <c r="I247" s="64">
        <v>0.17</v>
      </c>
      <c r="J247" s="64">
        <v>0.25</v>
      </c>
      <c r="K247" s="71">
        <v>0.2341676925181233</v>
      </c>
      <c r="L247" s="65">
        <v>7635.5</v>
      </c>
      <c r="M247" s="65">
        <v>7635.5</v>
      </c>
      <c r="N247" s="13">
        <v>7635.5</v>
      </c>
      <c r="O247" s="13">
        <v>7468.2</v>
      </c>
      <c r="P247" s="30" t="s">
        <v>4</v>
      </c>
      <c r="Q247" s="13">
        <v>7635.5</v>
      </c>
      <c r="R247" s="13">
        <v>7468.2</v>
      </c>
      <c r="S247" s="23">
        <v>7551.9</v>
      </c>
      <c r="T247" s="41"/>
      <c r="U247" s="13">
        <v>7569</v>
      </c>
      <c r="V247" s="13">
        <v>7569</v>
      </c>
      <c r="W247" s="24">
        <v>7569</v>
      </c>
      <c r="X247" s="58" t="str">
        <f>HYPERLINK("http://drinc.ca.gov/DNN/Portals/0/SelfCert/c407567b-a2b2-4d09-9bf6-4fa21ca535d5.xlsx","WS1")</f>
        <v>WS1</v>
      </c>
      <c r="Y247" s="10"/>
      <c r="Z247" s="26" t="s">
        <v>13</v>
      </c>
      <c r="AA247" s="13">
        <v>-17.2</v>
      </c>
      <c r="AB247" s="15">
        <v>0</v>
      </c>
      <c r="AC247" s="30" t="s">
        <v>14</v>
      </c>
      <c r="AD247" s="29" t="s">
        <v>21</v>
      </c>
      <c r="AE247" s="32"/>
      <c r="AF247" s="32"/>
      <c r="AG247" s="17"/>
      <c r="AH247" s="27"/>
      <c r="AI247" s="27"/>
      <c r="AJ247" s="11"/>
      <c r="AK247" s="58" t="str">
        <f>HYPERLINK("http://drinc.ca.gov/DNN/Portals/0/SelfCert/11c5d1e6-8262-4de8-a50b-da41a621dfeb.pdf","Cert")</f>
        <v>Cert</v>
      </c>
      <c r="AL247" s="58" t="str">
        <f>HYPERLINK("http://drinc.ca.gov/DNN/Portals/0/SelfCert/114a6398-3018-4b79-b358-b0d7c834755e.xlsx","Analysis")</f>
        <v>Analysis</v>
      </c>
    </row>
    <row r="248" spans="1:38" s="19" customFormat="1" ht="14.4" customHeight="1" x14ac:dyDescent="0.3">
      <c r="A248" s="12" t="s">
        <v>185</v>
      </c>
      <c r="B248" s="68" t="s">
        <v>16</v>
      </c>
      <c r="C248" s="73">
        <v>64219</v>
      </c>
      <c r="D248" s="14">
        <v>4776.5</v>
      </c>
      <c r="E248" s="14">
        <v>5071</v>
      </c>
      <c r="F248" s="18">
        <v>0</v>
      </c>
      <c r="G248" s="68" t="s">
        <v>776</v>
      </c>
      <c r="H248" s="64">
        <v>0.08</v>
      </c>
      <c r="I248" s="64">
        <v>0.08</v>
      </c>
      <c r="J248" s="64">
        <v>0.13</v>
      </c>
      <c r="K248" s="71">
        <v>0.14454976303317524</v>
      </c>
      <c r="L248" s="65">
        <v>4785</v>
      </c>
      <c r="M248" s="65">
        <v>4785</v>
      </c>
      <c r="N248" s="13">
        <v>4785</v>
      </c>
      <c r="O248" s="13">
        <v>4768</v>
      </c>
      <c r="P248" s="30" t="s">
        <v>4</v>
      </c>
      <c r="Q248" s="13">
        <v>4785</v>
      </c>
      <c r="R248" s="13">
        <v>4768</v>
      </c>
      <c r="S248" s="23">
        <v>4776.5</v>
      </c>
      <c r="T248" s="41"/>
      <c r="U248" s="13">
        <v>5517</v>
      </c>
      <c r="V248" s="13">
        <v>5612</v>
      </c>
      <c r="W248" s="24">
        <v>5071</v>
      </c>
      <c r="X248" s="58" t="str">
        <f>HYPERLINK("http://drinc.ca.gov/DNN/Portals/0/SelfCert/9bcff23a-6570-4507-b012-3a0e62e951bd.xlsx","WS1")</f>
        <v>WS1</v>
      </c>
      <c r="Y248" s="10"/>
      <c r="Z248" s="26" t="s">
        <v>13</v>
      </c>
      <c r="AA248" s="13">
        <v>-294.5</v>
      </c>
      <c r="AB248" s="66">
        <v>0</v>
      </c>
      <c r="AC248" s="30" t="s">
        <v>14</v>
      </c>
      <c r="AD248" s="29"/>
      <c r="AE248" s="32"/>
      <c r="AF248" s="32"/>
      <c r="AG248" s="17"/>
      <c r="AH248" s="27"/>
      <c r="AI248" s="27"/>
      <c r="AJ248" s="11"/>
      <c r="AK248" s="58" t="str">
        <f>HYPERLINK("http://drinc.ca.gov/DNN/Portals/0/SelfCert/2238b822-b6f8-4ef7-b3ad-dfe15c5dbf3b.pdf","Cert")</f>
        <v>Cert</v>
      </c>
      <c r="AL248" s="58" t="str">
        <f>HYPERLINK("http://drinc.ca.gov/DNN/Portals/0/SelfCert/723c6b9a-0781-4c47-a298-f72632733987.xlsx","Analysis")</f>
        <v>Analysis</v>
      </c>
    </row>
    <row r="249" spans="1:38" s="19" customFormat="1" ht="14.4" customHeight="1" x14ac:dyDescent="0.3">
      <c r="A249" s="12" t="s">
        <v>277</v>
      </c>
      <c r="B249" s="68" t="s">
        <v>16</v>
      </c>
      <c r="C249" s="73">
        <v>270951.66666666669</v>
      </c>
      <c r="D249" s="14">
        <v>34102.5</v>
      </c>
      <c r="E249" s="14">
        <v>34103</v>
      </c>
      <c r="F249" s="18">
        <v>0</v>
      </c>
      <c r="G249" s="68" t="s">
        <v>830</v>
      </c>
      <c r="H249" s="64">
        <v>0.2</v>
      </c>
      <c r="I249" s="64">
        <v>0.12</v>
      </c>
      <c r="J249" s="64">
        <v>0.22</v>
      </c>
      <c r="K249" s="71">
        <v>0.21071643588199884</v>
      </c>
      <c r="L249" s="65">
        <v>34310.800000000003</v>
      </c>
      <c r="M249" s="65">
        <v>34310.800000000003</v>
      </c>
      <c r="N249" s="13">
        <v>34356</v>
      </c>
      <c r="O249" s="13">
        <v>33849</v>
      </c>
      <c r="P249" s="30" t="s">
        <v>4</v>
      </c>
      <c r="Q249" s="13">
        <v>34356</v>
      </c>
      <c r="R249" s="13">
        <v>33849</v>
      </c>
      <c r="S249" s="35">
        <v>34102.5</v>
      </c>
      <c r="T249" s="41"/>
      <c r="U249" s="13">
        <v>34103</v>
      </c>
      <c r="V249" s="13">
        <v>34103</v>
      </c>
      <c r="W249" s="24">
        <v>34103</v>
      </c>
      <c r="X249" s="58" t="str">
        <f>HYPERLINK("http://drinc.ca.gov/DNN/Portals/0/SelfCert/19637c05-39e2-4084-8395-3cc7a3c46493.xlsx","WS1")</f>
        <v>WS1</v>
      </c>
      <c r="Y249" s="10"/>
      <c r="Z249" s="52" t="s">
        <v>31</v>
      </c>
      <c r="AA249" s="32">
        <v>-0.5</v>
      </c>
      <c r="AB249" s="33">
        <v>0</v>
      </c>
      <c r="AC249" s="16" t="s">
        <v>14</v>
      </c>
      <c r="AD249" s="11"/>
      <c r="AE249" s="65">
        <v>557738</v>
      </c>
      <c r="AF249" s="65">
        <v>581662</v>
      </c>
      <c r="AG249" s="15">
        <v>0</v>
      </c>
      <c r="AH249" s="38" t="s">
        <v>777</v>
      </c>
      <c r="AI249" s="37" t="str">
        <f>HYPERLINK("http://drinc.ca.gov/DNN/Portals/0/SelfCert/78d624f7-b748-4365-9bd1-b388803f2670.pdf","Legal")</f>
        <v>Legal</v>
      </c>
      <c r="AJ249" s="10"/>
      <c r="AK249" s="58" t="str">
        <f>HYPERLINK("http://drinc.ca.gov/DNN/Portals/0/SelfCert/96c15dcc-825f-4d09-8e34-49995691e682.pdf","Cert")</f>
        <v>Cert</v>
      </c>
      <c r="AL249" s="58" t="str">
        <f>HYPERLINK("http://drinc.ca.gov/DNN/Portals/0/SelfCert/c844bead-9e28-44b7-b541-653780c149da.docx","Analysis")</f>
        <v>Analysis</v>
      </c>
    </row>
    <row r="250" spans="1:38" s="19" customFormat="1" ht="14.4" customHeight="1" x14ac:dyDescent="0.3">
      <c r="A250" s="12" t="s">
        <v>691</v>
      </c>
      <c r="B250" s="68" t="s">
        <v>16</v>
      </c>
      <c r="C250" s="73">
        <v>35946.909090909088</v>
      </c>
      <c r="D250" s="14">
        <v>5428</v>
      </c>
      <c r="E250" s="14">
        <v>5428</v>
      </c>
      <c r="F250" s="18">
        <v>0</v>
      </c>
      <c r="G250" s="68" t="s">
        <v>776</v>
      </c>
      <c r="H250" s="64">
        <v>0.2</v>
      </c>
      <c r="I250" s="64">
        <v>0.18</v>
      </c>
      <c r="J250" s="64">
        <v>0.19</v>
      </c>
      <c r="K250" s="71">
        <v>0.19329388560157801</v>
      </c>
      <c r="L250" s="65">
        <v>5029.3999999999996</v>
      </c>
      <c r="M250" s="65">
        <v>5029.3999999999996</v>
      </c>
      <c r="N250" s="13">
        <v>5525</v>
      </c>
      <c r="O250" s="13">
        <v>5331</v>
      </c>
      <c r="P250" s="30" t="s">
        <v>4</v>
      </c>
      <c r="Q250" s="13">
        <v>5525</v>
      </c>
      <c r="R250" s="13">
        <v>5331</v>
      </c>
      <c r="S250" s="23">
        <v>5428</v>
      </c>
      <c r="T250" s="41"/>
      <c r="U250" s="13">
        <v>5428</v>
      </c>
      <c r="V250" s="13">
        <v>5428</v>
      </c>
      <c r="W250" s="24">
        <v>5428</v>
      </c>
      <c r="X250" s="58" t="str">
        <f>HYPERLINK("http://www.drinc.ca.gov/DNN/Portals/0/SelfCert/34541bc1-f5e9-4574-97a0-5faf2b2cb16c.xlsx","WS1")</f>
        <v>WS1</v>
      </c>
      <c r="Y250" s="10"/>
      <c r="Z250" s="26" t="s">
        <v>13</v>
      </c>
      <c r="AA250" s="13">
        <v>0</v>
      </c>
      <c r="AB250" s="15">
        <v>0</v>
      </c>
      <c r="AC250" s="30" t="s">
        <v>14</v>
      </c>
      <c r="AD250" s="29"/>
      <c r="AE250" s="32">
        <v>5428</v>
      </c>
      <c r="AF250" s="32">
        <v>5428</v>
      </c>
      <c r="AG250" s="17"/>
      <c r="AH250" s="27" t="str">
        <f>HYPERLINK("http://www.drinc.ca.gov/DNN/Portals/0/SelfCert/2bf5f67a-8cbe-49f5-b75f-b93ca4ba2539.xlsx","WS2")</f>
        <v>WS2</v>
      </c>
      <c r="AI250" s="27" t="str">
        <f>HYPERLINK("http://www.drinc.ca.gov/DNN/Portals/0/SelfCert/6b24d181-d6d9-4975-a39e-34c21ce351b1.pdf","Legal")</f>
        <v>Legal</v>
      </c>
      <c r="AJ250" s="11"/>
      <c r="AK250" s="58" t="str">
        <f>HYPERLINK("http://www.drinc.ca.gov/DNN/Portals/0/SelfCert/b75b954e-efa6-4167-b473-3624c5e32b1e.pdf","Cert")</f>
        <v>Cert</v>
      </c>
      <c r="AL250" s="63" t="s">
        <v>793</v>
      </c>
    </row>
    <row r="251" spans="1:38" s="19" customFormat="1" ht="14.4" customHeight="1" x14ac:dyDescent="0.3">
      <c r="A251" s="12" t="s">
        <v>607</v>
      </c>
      <c r="B251" s="68" t="s">
        <v>16</v>
      </c>
      <c r="C251" s="73">
        <v>35500</v>
      </c>
      <c r="D251" s="14">
        <v>4173</v>
      </c>
      <c r="E251" s="14">
        <v>4666</v>
      </c>
      <c r="F251" s="18">
        <v>0</v>
      </c>
      <c r="G251" s="68" t="s">
        <v>830</v>
      </c>
      <c r="H251" s="64">
        <v>0.2</v>
      </c>
      <c r="I251" s="64">
        <v>0.12</v>
      </c>
      <c r="J251" s="64">
        <v>0.25</v>
      </c>
      <c r="K251" s="71">
        <v>0.25613333333333332</v>
      </c>
      <c r="L251" s="65">
        <v>4206.8</v>
      </c>
      <c r="M251" s="65">
        <v>4206.8</v>
      </c>
      <c r="N251" s="13">
        <v>4207</v>
      </c>
      <c r="O251" s="13">
        <v>4139</v>
      </c>
      <c r="P251" s="30" t="s">
        <v>4</v>
      </c>
      <c r="Q251" s="13">
        <v>4207</v>
      </c>
      <c r="R251" s="13">
        <v>4139</v>
      </c>
      <c r="S251" s="23">
        <v>4173</v>
      </c>
      <c r="T251" s="41"/>
      <c r="U251" s="13">
        <v>4648</v>
      </c>
      <c r="V251" s="13">
        <v>4621</v>
      </c>
      <c r="W251" s="24">
        <v>4666</v>
      </c>
      <c r="X251" s="58" t="str">
        <f>HYPERLINK("http://www.drinc.ca.gov/DNN/Portals/0/SelfCert/9aceb6ec-8fcf-4fcc-bcc8-d162f4b8d836.xlsx","WS1")</f>
        <v>WS1</v>
      </c>
      <c r="Y251" s="10"/>
      <c r="Z251" s="52" t="s">
        <v>31</v>
      </c>
      <c r="AA251" s="32">
        <v>-493</v>
      </c>
      <c r="AB251" s="47">
        <v>0</v>
      </c>
      <c r="AC251" s="16" t="s">
        <v>18</v>
      </c>
      <c r="AD251" s="74"/>
      <c r="AE251" s="45"/>
      <c r="AF251" s="45"/>
      <c r="AG251" s="75"/>
      <c r="AH251" s="38" t="s">
        <v>777</v>
      </c>
      <c r="AI251" s="37" t="str">
        <f>HYPERLINK("https://drinc.ca.gov/DNN/Portals/0/SelfCert/251f6f19-a403-4ee1-ba27-c8fc3ce1c8d1.pdf","Legal")</f>
        <v>Legal</v>
      </c>
      <c r="AJ251" s="76"/>
      <c r="AK251" s="58" t="str">
        <f>HYPERLINK("http://www.drinc.ca.gov/DNN/Portals/0/SelfCert/5a5ed862-b8d3-4217-94c4-9104ba9cb749.pdf","Cert")</f>
        <v>Cert</v>
      </c>
      <c r="AL251" s="58" t="str">
        <f>HYPERLINK("http://www.drinc.ca.gov/DNN/Portals/0/SelfCert/b0cd9031-b7b6-4899-8ee6-bea6ed36d8e5.pdf","Analysis")</f>
        <v>Analysis</v>
      </c>
    </row>
    <row r="252" spans="1:38" s="19" customFormat="1" ht="14.4" customHeight="1" x14ac:dyDescent="0.3">
      <c r="A252" s="12" t="s">
        <v>533</v>
      </c>
      <c r="B252" s="68" t="s">
        <v>38</v>
      </c>
      <c r="C252" s="73">
        <v>14616</v>
      </c>
      <c r="D252" s="14">
        <v>1800</v>
      </c>
      <c r="E252" s="14">
        <v>2490</v>
      </c>
      <c r="F252" s="18">
        <v>0</v>
      </c>
      <c r="G252" s="69" t="s">
        <v>831</v>
      </c>
      <c r="H252" s="64">
        <v>0.2</v>
      </c>
      <c r="I252" s="64">
        <v>0.2</v>
      </c>
      <c r="J252" s="64">
        <v>0.22</v>
      </c>
      <c r="K252" s="71">
        <v>0.1978934669636232</v>
      </c>
      <c r="L252" s="65">
        <v>4845.1000000000004</v>
      </c>
      <c r="M252" s="65">
        <v>2341.1</v>
      </c>
      <c r="N252" s="13">
        <v>1916</v>
      </c>
      <c r="O252" s="13">
        <v>1684</v>
      </c>
      <c r="P252" s="30" t="s">
        <v>4</v>
      </c>
      <c r="Q252" s="13">
        <v>1916</v>
      </c>
      <c r="R252" s="13">
        <v>1684</v>
      </c>
      <c r="S252" s="23">
        <v>1800</v>
      </c>
      <c r="T252" s="41" t="s">
        <v>534</v>
      </c>
      <c r="U252" s="13">
        <v>3610</v>
      </c>
      <c r="V252" s="13">
        <v>2960</v>
      </c>
      <c r="W252" s="24">
        <v>2490</v>
      </c>
      <c r="X252" s="58" t="str">
        <f>HYPERLINK("http://drinc.ca.gov/DNN/Portals/0/SelfCert/d8939b78-2123-4288-89eb-58637a8b44e0.xlsx","WS1")</f>
        <v>WS1</v>
      </c>
      <c r="Y252" s="10"/>
      <c r="Z252" s="26" t="s">
        <v>13</v>
      </c>
      <c r="AA252" s="13">
        <v>-690</v>
      </c>
      <c r="AB252" s="66">
        <v>0</v>
      </c>
      <c r="AC252" s="30" t="s">
        <v>18</v>
      </c>
      <c r="AD252" s="29" t="s">
        <v>535</v>
      </c>
      <c r="AE252" s="32"/>
      <c r="AF252" s="32"/>
      <c r="AG252" s="17"/>
      <c r="AH252" s="27"/>
      <c r="AI252" s="27"/>
      <c r="AJ252" s="11"/>
      <c r="AK252" s="58" t="str">
        <f>HYPERLINK("http://drinc.ca.gov/DNN/Portals/0/SelfCert/ff25efce-eb03-4f75-910c-437f6d0cdc39.pdf","Cert")</f>
        <v>Cert</v>
      </c>
      <c r="AL252" s="56" t="str">
        <f>HYPERLINK("http://drinc.ca.gov/DNN/Portals/0/SelfCert/e6cece07-8288-4e18-9abc-c8f541dba0f8.pdf","Analysis")</f>
        <v>Analysis</v>
      </c>
    </row>
    <row r="253" spans="1:38" s="19" customFormat="1" ht="14.4" customHeight="1" x14ac:dyDescent="0.3">
      <c r="A253" s="12" t="s">
        <v>639</v>
      </c>
      <c r="B253" s="68" t="s">
        <v>16</v>
      </c>
      <c r="C253" s="73">
        <v>59081</v>
      </c>
      <c r="D253" s="14">
        <v>8133.8</v>
      </c>
      <c r="E253" s="14">
        <v>9432</v>
      </c>
      <c r="F253" s="18">
        <v>0</v>
      </c>
      <c r="G253" s="68" t="s">
        <v>776</v>
      </c>
      <c r="H253" s="64">
        <v>0.2</v>
      </c>
      <c r="I253" s="64">
        <v>0.12</v>
      </c>
      <c r="J253" s="64">
        <v>0.24</v>
      </c>
      <c r="K253" s="71">
        <v>0.20884823263721464</v>
      </c>
      <c r="L253" s="65">
        <v>8362.1</v>
      </c>
      <c r="M253" s="65">
        <v>8362.1</v>
      </c>
      <c r="N253" s="13">
        <v>8364.2999999999993</v>
      </c>
      <c r="O253" s="13">
        <v>7903.2</v>
      </c>
      <c r="P253" s="30" t="s">
        <v>4</v>
      </c>
      <c r="Q253" s="13">
        <v>8364.2999999999993</v>
      </c>
      <c r="R253" s="13">
        <v>7903.2</v>
      </c>
      <c r="S253" s="23">
        <v>8133.8</v>
      </c>
      <c r="T253" s="41"/>
      <c r="U253" s="13">
        <v>9432</v>
      </c>
      <c r="V253" s="13">
        <v>9432</v>
      </c>
      <c r="W253" s="24">
        <v>9432</v>
      </c>
      <c r="X253" s="58" t="str">
        <f>HYPERLINK("https://drinc.ca.gov/DNN/Portals/0/SelfCert/28e394f5-5d81-43bc-8433-46515aa54abb.xlsx","WS1")</f>
        <v>WS1</v>
      </c>
      <c r="Y253" s="10"/>
      <c r="Z253" s="26" t="s">
        <v>13</v>
      </c>
      <c r="AA253" s="13">
        <v>-1298.2</v>
      </c>
      <c r="AB253" s="66">
        <v>0</v>
      </c>
      <c r="AC253" s="30" t="s">
        <v>14</v>
      </c>
      <c r="AD253" s="29"/>
      <c r="AE253" s="32"/>
      <c r="AF253" s="32"/>
      <c r="AG253" s="17"/>
      <c r="AH253" s="27"/>
      <c r="AI253" s="27"/>
      <c r="AJ253" s="11"/>
      <c r="AK253" s="58" t="str">
        <f>HYPERLINK("https://drinc.ca.gov/DNN/Portals/0/SelfCert/d10002a5-2b02-4992-8f4f-164df5178865.pdf","Cert")</f>
        <v>Cert</v>
      </c>
      <c r="AL253" s="58" t="str">
        <f>HYPERLINK("https://drinc.ca.gov/DNN/Portals/0/SelfCert/3954f091-7013-4dd9-84eb-57770f43be7a.docx","Analysis")</f>
        <v>Analysis</v>
      </c>
    </row>
    <row r="254" spans="1:38" s="19" customFormat="1" ht="14.4" customHeight="1" x14ac:dyDescent="0.3">
      <c r="A254" s="12" t="s">
        <v>457</v>
      </c>
      <c r="B254" s="68" t="s">
        <v>16</v>
      </c>
      <c r="C254" s="73">
        <v>65965</v>
      </c>
      <c r="D254" s="14">
        <v>5826.6</v>
      </c>
      <c r="E254" s="14">
        <v>5914</v>
      </c>
      <c r="F254" s="18">
        <v>0</v>
      </c>
      <c r="G254" s="68" t="s">
        <v>776</v>
      </c>
      <c r="H254" s="64">
        <v>0.16</v>
      </c>
      <c r="I254" s="64">
        <v>0.1</v>
      </c>
      <c r="J254" s="64">
        <v>0.12</v>
      </c>
      <c r="K254" s="71">
        <v>0.18427039324016903</v>
      </c>
      <c r="L254" s="65">
        <v>5867</v>
      </c>
      <c r="M254" s="65">
        <v>5867</v>
      </c>
      <c r="N254" s="13">
        <v>5867</v>
      </c>
      <c r="O254" s="13">
        <v>5786.3</v>
      </c>
      <c r="P254" s="30" t="s">
        <v>4</v>
      </c>
      <c r="Q254" s="13">
        <v>5867</v>
      </c>
      <c r="R254" s="13">
        <v>5786.3</v>
      </c>
      <c r="S254" s="23">
        <v>5826.6</v>
      </c>
      <c r="T254" s="41" t="s">
        <v>458</v>
      </c>
      <c r="U254" s="13">
        <v>5914</v>
      </c>
      <c r="V254" s="13">
        <v>5914</v>
      </c>
      <c r="W254" s="24">
        <v>5914</v>
      </c>
      <c r="X254" s="58" t="str">
        <f>HYPERLINK("https://drinc.ca.gov/DNN/Portals/0/SelfCert/7816ca53-20f1-409c-abc0-b084ad6b0a65.xlsx","WS1")</f>
        <v>WS1</v>
      </c>
      <c r="Y254" s="10"/>
      <c r="Z254" s="26" t="s">
        <v>13</v>
      </c>
      <c r="AA254" s="13">
        <v>-87.4</v>
      </c>
      <c r="AB254" s="66">
        <v>0</v>
      </c>
      <c r="AC254" s="30" t="s">
        <v>18</v>
      </c>
      <c r="AD254" s="29"/>
      <c r="AE254" s="32"/>
      <c r="AF254" s="32"/>
      <c r="AG254" s="17"/>
      <c r="AH254" s="27"/>
      <c r="AI254" s="27"/>
      <c r="AJ254" s="11"/>
      <c r="AK254" s="58" t="str">
        <f>HYPERLINK("https://drinc.ca.gov/DNN/Portals/0/SelfCert/981070b1-2cd3-4207-9dc8-b5f670d3762a.pdf","Cert")</f>
        <v>Cert</v>
      </c>
      <c r="AL254" s="58" t="str">
        <f>HYPERLINK("https://drinc.ca.gov/DNN/Portals/0/SelfCert/51de4166-5378-4757-84cc-c40510a321c5.xlsx","Analysis")</f>
        <v>Analysis</v>
      </c>
    </row>
    <row r="255" spans="1:38" s="19" customFormat="1" ht="14.4" customHeight="1" x14ac:dyDescent="0.3">
      <c r="A255" s="12" t="s">
        <v>94</v>
      </c>
      <c r="B255" s="68" t="s">
        <v>16</v>
      </c>
      <c r="C255" s="73">
        <v>75384</v>
      </c>
      <c r="D255" s="14">
        <v>23516.799999999999</v>
      </c>
      <c r="E255" s="14">
        <v>23517</v>
      </c>
      <c r="F255" s="18">
        <v>0</v>
      </c>
      <c r="G255" s="68" t="s">
        <v>776</v>
      </c>
      <c r="H255" s="64">
        <v>0.36</v>
      </c>
      <c r="I255" s="64">
        <v>0.35</v>
      </c>
      <c r="J255" s="64">
        <v>0.28000000000000003</v>
      </c>
      <c r="K255" s="71">
        <v>0.19865319865319864</v>
      </c>
      <c r="L255" s="65">
        <v>23690</v>
      </c>
      <c r="M255" s="65">
        <v>23690</v>
      </c>
      <c r="N255" s="13">
        <v>23750.3</v>
      </c>
      <c r="O255" s="13">
        <v>23283.3</v>
      </c>
      <c r="P255" s="30" t="s">
        <v>4</v>
      </c>
      <c r="Q255" s="13">
        <v>23750.3</v>
      </c>
      <c r="R255" s="13">
        <v>23283.3</v>
      </c>
      <c r="S255" s="23">
        <v>23516.799999999999</v>
      </c>
      <c r="T255" s="41" t="s">
        <v>95</v>
      </c>
      <c r="U255" s="13">
        <v>23517</v>
      </c>
      <c r="V255" s="13">
        <v>23517</v>
      </c>
      <c r="W255" s="24">
        <v>23517</v>
      </c>
      <c r="X255" s="58" t="str">
        <f>HYPERLINK("http://drinc.ca.gov/DNN/Portals/0/SelfCert/7d75a4e7-93f2-4eff-b684-6b1c7571cf2b.xlsx","WS1")</f>
        <v>WS1</v>
      </c>
      <c r="Y255" s="10" t="s">
        <v>96</v>
      </c>
      <c r="Z255" s="26" t="s">
        <v>13</v>
      </c>
      <c r="AA255" s="13">
        <v>-0.2</v>
      </c>
      <c r="AB255" s="15">
        <v>0</v>
      </c>
      <c r="AC255" s="30" t="s">
        <v>18</v>
      </c>
      <c r="AD255" s="29" t="s">
        <v>97</v>
      </c>
      <c r="AE255" s="32"/>
      <c r="AF255" s="32"/>
      <c r="AG255" s="17"/>
      <c r="AH255" s="27"/>
      <c r="AI255" s="27"/>
      <c r="AJ255" s="11"/>
      <c r="AK255" s="58" t="str">
        <f>HYPERLINK("http://drinc.ca.gov/DNN/Portals/0/SelfCert/0f59e579-1d33-482c-afa4-8a0b0484372a.pdf","Cert")</f>
        <v>Cert</v>
      </c>
      <c r="AL255" s="58" t="str">
        <f>HYPERLINK("http://drinc.ca.gov/DNN/Portals/0/SelfCert/6c14bede-bbc2-453d-aab9-e41d92853f94.xlsx","Analysis")</f>
        <v>Analysis</v>
      </c>
    </row>
    <row r="256" spans="1:38" s="19" customFormat="1" ht="14.4" customHeight="1" x14ac:dyDescent="0.3">
      <c r="A256" s="12" t="s">
        <v>540</v>
      </c>
      <c r="B256" s="68" t="s">
        <v>16</v>
      </c>
      <c r="C256" s="73">
        <v>77596</v>
      </c>
      <c r="D256" s="14">
        <v>15860.5</v>
      </c>
      <c r="E256" s="14">
        <v>16033.1</v>
      </c>
      <c r="F256" s="18">
        <v>0</v>
      </c>
      <c r="G256" s="68" t="s">
        <v>829</v>
      </c>
      <c r="H256" s="64">
        <v>0.28000000000000003</v>
      </c>
      <c r="I256" s="64">
        <v>0.28000000000000003</v>
      </c>
      <c r="J256" s="64">
        <v>0.26</v>
      </c>
      <c r="K256" s="71">
        <v>0.19521670671594005</v>
      </c>
      <c r="L256" s="65">
        <v>15592</v>
      </c>
      <c r="M256" s="65">
        <v>15592</v>
      </c>
      <c r="N256" s="13">
        <v>15862</v>
      </c>
      <c r="O256" s="13">
        <v>15859</v>
      </c>
      <c r="P256" s="30" t="s">
        <v>4</v>
      </c>
      <c r="Q256" s="13">
        <v>15862</v>
      </c>
      <c r="R256" s="13">
        <v>15859</v>
      </c>
      <c r="S256" s="35">
        <v>15860.5</v>
      </c>
      <c r="T256" s="41"/>
      <c r="U256" s="13">
        <v>19412.5</v>
      </c>
      <c r="V256" s="13">
        <v>19981.099999999999</v>
      </c>
      <c r="W256" s="24">
        <v>16033.1</v>
      </c>
      <c r="X256" s="58" t="str">
        <f>HYPERLINK("http://drinc.ca.gov/DNN/Portals/0/SelfCert/4695a5b1-4c43-40da-a31b-8aa0f4681bc4.xlsx","WS1")</f>
        <v>WS1</v>
      </c>
      <c r="Y256" s="10"/>
      <c r="Z256" s="26" t="s">
        <v>31</v>
      </c>
      <c r="AA256" s="32">
        <v>-172.6</v>
      </c>
      <c r="AB256" s="33">
        <v>0</v>
      </c>
      <c r="AC256" s="16" t="s">
        <v>14</v>
      </c>
      <c r="AD256" s="11"/>
      <c r="AE256" s="65">
        <v>98870</v>
      </c>
      <c r="AF256" s="65">
        <v>130488</v>
      </c>
      <c r="AG256" s="15">
        <v>0</v>
      </c>
      <c r="AH256" s="37"/>
      <c r="AI256" s="37"/>
      <c r="AJ256" s="10"/>
      <c r="AK256" s="58" t="str">
        <f>HYPERLINK("http://drinc.ca.gov/DNN/Portals/0/SelfCert/dff3fa91-2c94-442f-91bd-90dc213d4f64.pdf","Cert")</f>
        <v>Cert</v>
      </c>
      <c r="AL256" s="58" t="str">
        <f>HYPERLINK("http://drinc.ca.gov/DNN/Portals/0/SelfCert/b8447861-9e55-44da-8338-13663729229d.docx","Analysis")</f>
        <v>Analysis</v>
      </c>
    </row>
    <row r="257" spans="1:38" s="19" customFormat="1" ht="14.4" customHeight="1" x14ac:dyDescent="0.3">
      <c r="A257" s="12" t="s">
        <v>153</v>
      </c>
      <c r="B257" s="68" t="s">
        <v>27</v>
      </c>
      <c r="C257" s="73">
        <v>63685</v>
      </c>
      <c r="D257" s="14">
        <v>16082.5</v>
      </c>
      <c r="E257" s="14">
        <v>15150</v>
      </c>
      <c r="F257" s="18">
        <v>0.06</v>
      </c>
      <c r="G257" s="68" t="s">
        <v>776</v>
      </c>
      <c r="H257" s="64">
        <v>0.32</v>
      </c>
      <c r="I257" s="64">
        <v>0.3</v>
      </c>
      <c r="J257" s="64">
        <v>0.28999999999999998</v>
      </c>
      <c r="K257" s="71">
        <v>0.23500571988887076</v>
      </c>
      <c r="L257" s="65">
        <v>15925.4</v>
      </c>
      <c r="M257" s="65">
        <v>15925.4</v>
      </c>
      <c r="N257" s="13">
        <v>5190</v>
      </c>
      <c r="O257" s="13">
        <v>5291</v>
      </c>
      <c r="P257" s="30" t="s">
        <v>5</v>
      </c>
      <c r="Q257" s="13">
        <v>15927.5</v>
      </c>
      <c r="R257" s="13">
        <v>16237.5</v>
      </c>
      <c r="S257" s="23">
        <v>16082.5</v>
      </c>
      <c r="T257" s="41"/>
      <c r="U257" s="13">
        <v>22000</v>
      </c>
      <c r="V257" s="13">
        <v>16500</v>
      </c>
      <c r="W257" s="24">
        <v>15150</v>
      </c>
      <c r="X257" s="58" t="str">
        <f>HYPERLINK("http://www.drinc.ca.gov/DNN/Portals/0/SelfCert/1db34a6f-fafa-4801-a6aa-ca5ed4802598.xlsx","WS1")</f>
        <v>WS1</v>
      </c>
      <c r="Y257" s="10"/>
      <c r="Z257" s="26" t="s">
        <v>13</v>
      </c>
      <c r="AA257" s="13">
        <v>932.5</v>
      </c>
      <c r="AB257" s="15">
        <v>0.06</v>
      </c>
      <c r="AC257" s="30" t="s">
        <v>14</v>
      </c>
      <c r="AD257" s="29"/>
      <c r="AE257" s="32"/>
      <c r="AF257" s="32"/>
      <c r="AG257" s="17"/>
      <c r="AH257" s="27"/>
      <c r="AI257" s="27"/>
      <c r="AJ257" s="11"/>
      <c r="AK257" s="58" t="str">
        <f>HYPERLINK("http://www.drinc.ca.gov/DNN/Portals/0/SelfCert/54155435-00d9-4543-995d-e0e053f3ee5a.pdf","Cert")</f>
        <v>Cert</v>
      </c>
      <c r="AL257" s="58" t="str">
        <f>HYPERLINK("http://www.drinc.ca.gov/DNN/Portals/0/SelfCert/63deae70-dc86-41e6-bcce-b530aa867eed.xls","Analysis")</f>
        <v>Analysis</v>
      </c>
    </row>
    <row r="258" spans="1:38" s="19" customFormat="1" ht="14.4" customHeight="1" x14ac:dyDescent="0.3">
      <c r="A258" s="12" t="s">
        <v>559</v>
      </c>
      <c r="B258" s="68" t="s">
        <v>16</v>
      </c>
      <c r="C258" s="73">
        <v>26827</v>
      </c>
      <c r="D258" s="14">
        <v>3579</v>
      </c>
      <c r="E258" s="14">
        <v>3579</v>
      </c>
      <c r="F258" s="18">
        <v>0</v>
      </c>
      <c r="G258" s="68" t="s">
        <v>776</v>
      </c>
      <c r="H258" s="64">
        <v>0.24</v>
      </c>
      <c r="I258" s="64">
        <v>0.22</v>
      </c>
      <c r="J258" s="64">
        <v>0.25</v>
      </c>
      <c r="K258" s="71">
        <v>0.28741027056874646</v>
      </c>
      <c r="L258" s="65">
        <v>3651.7</v>
      </c>
      <c r="M258" s="65">
        <v>3651.7</v>
      </c>
      <c r="N258" s="13">
        <v>3651.7</v>
      </c>
      <c r="O258" s="13">
        <v>3506.3</v>
      </c>
      <c r="P258" s="30" t="s">
        <v>4</v>
      </c>
      <c r="Q258" s="13">
        <v>3651.7</v>
      </c>
      <c r="R258" s="13">
        <v>3506.3</v>
      </c>
      <c r="S258" s="23">
        <v>3579</v>
      </c>
      <c r="T258" s="41"/>
      <c r="U258" s="13">
        <v>3579</v>
      </c>
      <c r="V258" s="13">
        <v>3579</v>
      </c>
      <c r="W258" s="24">
        <v>3579</v>
      </c>
      <c r="X258" s="58" t="str">
        <f>HYPERLINK("http://drinc.ca.gov/DNN/Portals/0/SelfCert/670acff8-799c-4e05-8c91-6938892b5878.xlsx","WS1")</f>
        <v>WS1</v>
      </c>
      <c r="Y258" s="10"/>
      <c r="Z258" s="26" t="s">
        <v>13</v>
      </c>
      <c r="AA258" s="13">
        <v>0</v>
      </c>
      <c r="AB258" s="15">
        <v>0</v>
      </c>
      <c r="AC258" s="30" t="s">
        <v>14</v>
      </c>
      <c r="AD258" s="29" t="s">
        <v>21</v>
      </c>
      <c r="AE258" s="32"/>
      <c r="AF258" s="32"/>
      <c r="AG258" s="17"/>
      <c r="AH258" s="27"/>
      <c r="AI258" s="27"/>
      <c r="AJ258" s="11"/>
      <c r="AK258" s="58" t="str">
        <f>HYPERLINK("http://drinc.ca.gov/DNN/Portals/0/SelfCert/2668e4f6-de70-4568-9f69-2591ce2c09d9.pdf","Cert")</f>
        <v>Cert</v>
      </c>
      <c r="AL258" s="58" t="str">
        <f>HYPERLINK("http://drinc.ca.gov/DNN/Portals/0/SelfCert/82b27d9c-8a92-487c-a0d4-97939e24c351.xlsx","Analysis")</f>
        <v>Analysis</v>
      </c>
    </row>
    <row r="259" spans="1:38" s="19" customFormat="1" ht="14.4" customHeight="1" x14ac:dyDescent="0.3">
      <c r="A259" s="12" t="s">
        <v>138</v>
      </c>
      <c r="B259" s="68" t="s">
        <v>16</v>
      </c>
      <c r="C259" s="73">
        <v>20463</v>
      </c>
      <c r="D259" s="14">
        <v>2347.1999999999998</v>
      </c>
      <c r="E259" s="14">
        <v>3053</v>
      </c>
      <c r="F259" s="18">
        <v>0</v>
      </c>
      <c r="G259" s="68" t="s">
        <v>776</v>
      </c>
      <c r="H259" s="64">
        <v>0.2</v>
      </c>
      <c r="I259" s="64">
        <v>0.2</v>
      </c>
      <c r="J259" s="64">
        <v>0.18</v>
      </c>
      <c r="K259" s="71">
        <v>0.19620365442611309</v>
      </c>
      <c r="L259" s="65">
        <v>2407</v>
      </c>
      <c r="M259" s="65">
        <v>2407</v>
      </c>
      <c r="N259" s="13">
        <v>2407</v>
      </c>
      <c r="O259" s="13">
        <v>2287.4</v>
      </c>
      <c r="P259" s="30" t="s">
        <v>4</v>
      </c>
      <c r="Q259" s="13">
        <v>2407</v>
      </c>
      <c r="R259" s="13">
        <v>2287.4</v>
      </c>
      <c r="S259" s="34">
        <v>2347.1999999999998</v>
      </c>
      <c r="T259" s="41"/>
      <c r="U259" s="13">
        <v>3282</v>
      </c>
      <c r="V259" s="13">
        <v>3046</v>
      </c>
      <c r="W259" s="24">
        <v>3053</v>
      </c>
      <c r="X259" s="58" t="str">
        <f>HYPERLINK("http://drinc.ca.gov/DNN/Portals/0/SelfCert/fe31ff0a-5a78-4436-b9b2-0d25e5fd4207.xlsx","WS1")</f>
        <v>WS1</v>
      </c>
      <c r="Y259" s="10"/>
      <c r="Z259" s="26" t="s">
        <v>13</v>
      </c>
      <c r="AA259" s="31">
        <v>-705.8</v>
      </c>
      <c r="AB259" s="66">
        <v>0</v>
      </c>
      <c r="AC259" s="30" t="s">
        <v>14</v>
      </c>
      <c r="AD259" s="29"/>
      <c r="AE259" s="32"/>
      <c r="AF259" s="32"/>
      <c r="AG259" s="17"/>
      <c r="AH259" s="36"/>
      <c r="AI259" s="36"/>
      <c r="AJ259" s="11"/>
      <c r="AK259" s="58" t="str">
        <f>HYPERLINK("http://drinc.ca.gov/DNN/Portals/0/SelfCert/83e5d45e-5a2c-4304-acd9-2a2db99c0376.pdf","Cert")</f>
        <v>Cert</v>
      </c>
      <c r="AL259" s="58" t="str">
        <f>HYPERLINK("http://drinc.ca.gov/DNN/Portals/0/SelfCert/ac2abd72-16f1-43e6-8bfc-0d04d2d4f250.docx","Analysis")</f>
        <v>Analysis</v>
      </c>
    </row>
    <row r="260" spans="1:38" s="19" customFormat="1" ht="14.4" customHeight="1" x14ac:dyDescent="0.3">
      <c r="A260" s="12" t="s">
        <v>561</v>
      </c>
      <c r="B260" s="68" t="s">
        <v>16</v>
      </c>
      <c r="C260" s="73">
        <v>54872</v>
      </c>
      <c r="D260" s="14">
        <v>12299.6</v>
      </c>
      <c r="E260" s="14">
        <v>12822</v>
      </c>
      <c r="F260" s="18">
        <v>0</v>
      </c>
      <c r="G260" s="68" t="s">
        <v>776</v>
      </c>
      <c r="H260" s="64">
        <v>0.28000000000000003</v>
      </c>
      <c r="I260" s="64">
        <v>0.26</v>
      </c>
      <c r="J260" s="64">
        <v>0.28000000000000003</v>
      </c>
      <c r="K260" s="71">
        <v>0.2579349756737972</v>
      </c>
      <c r="L260" s="65">
        <v>12377.2</v>
      </c>
      <c r="M260" s="65">
        <v>12377.2</v>
      </c>
      <c r="N260" s="13">
        <v>12377.3</v>
      </c>
      <c r="O260" s="13">
        <v>12221.8</v>
      </c>
      <c r="P260" s="30" t="s">
        <v>4</v>
      </c>
      <c r="Q260" s="13">
        <v>12377.3</v>
      </c>
      <c r="R260" s="13">
        <v>12221.8</v>
      </c>
      <c r="S260" s="23">
        <v>12299.6</v>
      </c>
      <c r="T260" s="41"/>
      <c r="U260" s="13">
        <v>12354</v>
      </c>
      <c r="V260" s="13">
        <v>12600</v>
      </c>
      <c r="W260" s="24">
        <v>12822</v>
      </c>
      <c r="X260" s="58" t="str">
        <f>HYPERLINK("http://drinc.ca.gov/DNN/Portals/0/SelfCert/4ee803f2-bb25-4158-9f5d-0d903fc25264.xlsx","WS1")</f>
        <v>WS1</v>
      </c>
      <c r="Y260" s="10"/>
      <c r="Z260" s="26" t="s">
        <v>13</v>
      </c>
      <c r="AA260" s="13">
        <v>-522.5</v>
      </c>
      <c r="AB260" s="66">
        <v>0</v>
      </c>
      <c r="AC260" s="30" t="s">
        <v>14</v>
      </c>
      <c r="AD260" s="29" t="s">
        <v>21</v>
      </c>
      <c r="AE260" s="32"/>
      <c r="AF260" s="32"/>
      <c r="AG260" s="17"/>
      <c r="AH260" s="27"/>
      <c r="AI260" s="27"/>
      <c r="AJ260" s="11"/>
      <c r="AK260" s="58" t="str">
        <f>HYPERLINK("http://drinc.ca.gov/DNN/Portals/0/SelfCert/6a8da05b-2f94-49fd-b855-41283f4bd598.pdf","Cert")</f>
        <v>Cert</v>
      </c>
      <c r="AL260" s="58" t="str">
        <f>HYPERLINK("http://drinc.ca.gov/DNN/Portals/0/SelfCert/7947270f-b9b1-4282-ad75-256027803efc.xlsx","Analysis")</f>
        <v>Analysis</v>
      </c>
    </row>
    <row r="261" spans="1:38" s="19" customFormat="1" ht="14.4" customHeight="1" x14ac:dyDescent="0.3">
      <c r="A261" s="12" t="s">
        <v>154</v>
      </c>
      <c r="B261" s="68" t="s">
        <v>16</v>
      </c>
      <c r="C261" s="73">
        <v>36070</v>
      </c>
      <c r="D261" s="14">
        <v>6002</v>
      </c>
      <c r="E261" s="14">
        <v>6002</v>
      </c>
      <c r="F261" s="18">
        <v>0</v>
      </c>
      <c r="G261" s="68" t="s">
        <v>830</v>
      </c>
      <c r="H261" s="64">
        <v>0.28000000000000003</v>
      </c>
      <c r="I261" s="64">
        <v>0.2</v>
      </c>
      <c r="J261" s="64">
        <v>0.28999999999999998</v>
      </c>
      <c r="K261" s="71">
        <v>0.2562111801242235</v>
      </c>
      <c r="L261" s="65">
        <v>5323</v>
      </c>
      <c r="M261" s="65">
        <v>5323</v>
      </c>
      <c r="N261" s="13">
        <v>5986</v>
      </c>
      <c r="O261" s="13">
        <v>6018</v>
      </c>
      <c r="P261" s="30" t="s">
        <v>4</v>
      </c>
      <c r="Q261" s="13">
        <v>5986</v>
      </c>
      <c r="R261" s="13">
        <v>6018</v>
      </c>
      <c r="S261" s="35">
        <v>6002</v>
      </c>
      <c r="T261" s="41"/>
      <c r="U261" s="13">
        <v>6002</v>
      </c>
      <c r="V261" s="13">
        <v>6002</v>
      </c>
      <c r="W261" s="24">
        <v>6002</v>
      </c>
      <c r="X261" s="58" t="str">
        <f>HYPERLINK("http://drinc.ca.gov/DNN/Portals/0/SelfCert/b1dd300e-f051-446d-bf0f-d7d070446c79.xlsx","WS1")</f>
        <v>WS1</v>
      </c>
      <c r="Y261" s="10"/>
      <c r="Z261" s="52" t="s">
        <v>31</v>
      </c>
      <c r="AA261" s="32">
        <v>0</v>
      </c>
      <c r="AB261" s="33">
        <v>0</v>
      </c>
      <c r="AC261" s="16"/>
      <c r="AD261" s="11"/>
      <c r="AE261" s="65"/>
      <c r="AF261" s="65"/>
      <c r="AG261" s="15">
        <v>0</v>
      </c>
      <c r="AH261" s="38" t="s">
        <v>777</v>
      </c>
      <c r="AI261" s="37" t="str">
        <f>HYPERLINK("http://drinc.ca.gov/DNN/Portals/0/SelfCert/dfd724de-f543-4896-8cc4-e778ead3f440.pdf","Legal")</f>
        <v>Legal</v>
      </c>
      <c r="AJ261" s="10"/>
      <c r="AK261" s="58" t="str">
        <f>HYPERLINK("http://drinc.ca.gov/DNN/Portals/0/SelfCert/23f45152-747f-470f-9746-5582abad4ada.pdf","Cert")</f>
        <v>Cert</v>
      </c>
      <c r="AL261" s="58" t="str">
        <f>HYPERLINK("http://drinc.ca.gov/DNN/Portals/0/SelfCert/b7c64b40-b1ae-4eba-8197-f31b3bc77520.docx","Analysis")</f>
        <v>Analysis</v>
      </c>
    </row>
    <row r="262" spans="1:38" s="19" customFormat="1" ht="14.4" customHeight="1" x14ac:dyDescent="0.3">
      <c r="A262" s="12" t="s">
        <v>176</v>
      </c>
      <c r="B262" s="68" t="s">
        <v>16</v>
      </c>
      <c r="C262" s="73">
        <v>37773.25</v>
      </c>
      <c r="D262" s="14">
        <v>7825.9</v>
      </c>
      <c r="E262" s="14">
        <v>6901.1</v>
      </c>
      <c r="F262" s="18">
        <v>0.12</v>
      </c>
      <c r="G262" s="68" t="s">
        <v>776</v>
      </c>
      <c r="H262" s="64">
        <v>0.28000000000000003</v>
      </c>
      <c r="I262" s="64">
        <v>0.26</v>
      </c>
      <c r="J262" s="64">
        <v>0.22</v>
      </c>
      <c r="K262" s="71" t="s">
        <v>822</v>
      </c>
      <c r="L262" s="65">
        <v>7833.7</v>
      </c>
      <c r="M262" s="65">
        <v>7833.7</v>
      </c>
      <c r="N262" s="13">
        <v>7986.3</v>
      </c>
      <c r="O262" s="13">
        <v>7665.5</v>
      </c>
      <c r="P262" s="30" t="s">
        <v>4</v>
      </c>
      <c r="Q262" s="13">
        <v>7986.3</v>
      </c>
      <c r="R262" s="13">
        <v>7665.5</v>
      </c>
      <c r="S262" s="34">
        <v>7825.9</v>
      </c>
      <c r="T262" s="41"/>
      <c r="U262" s="13">
        <v>5740.08</v>
      </c>
      <c r="V262" s="13">
        <v>6429.1</v>
      </c>
      <c r="W262" s="24">
        <v>6901.1</v>
      </c>
      <c r="X262" s="58" t="str">
        <f>HYPERLINK("https://drinc.ca.gov/DNN/Portals/0/SelfCert/02f67ff0-d4f1-40c9-8410-f303bcf2120e.xlsx","WS1")</f>
        <v>WS1</v>
      </c>
      <c r="Y262" s="10"/>
      <c r="Z262" s="26" t="s">
        <v>13</v>
      </c>
      <c r="AA262" s="31">
        <v>924.7</v>
      </c>
      <c r="AB262" s="15">
        <v>0.12</v>
      </c>
      <c r="AC262" s="30" t="s">
        <v>14</v>
      </c>
      <c r="AD262" s="29"/>
      <c r="AE262" s="32">
        <v>0</v>
      </c>
      <c r="AF262" s="32">
        <v>0</v>
      </c>
      <c r="AG262" s="17">
        <v>0</v>
      </c>
      <c r="AH262" s="36"/>
      <c r="AI262" s="36"/>
      <c r="AJ262" s="11"/>
      <c r="AK262" s="58" t="str">
        <f>HYPERLINK("https://drinc.ca.gov/DNN/Portals/0/SelfCert/77641b60-178c-4c2b-a6f1-c3445efbc325.pdf","Cert")</f>
        <v>Cert</v>
      </c>
      <c r="AL262" s="58" t="str">
        <f>HYPERLINK("https://drinc.ca.gov/DNN/Portals/0/SelfCert/bbb777d8-2a19-418e-a1de-6c89743b8ca3.docx","Analysis")</f>
        <v>Analysis</v>
      </c>
    </row>
    <row r="263" spans="1:38" s="19" customFormat="1" ht="14.4" customHeight="1" x14ac:dyDescent="0.3">
      <c r="A263" s="12" t="s">
        <v>543</v>
      </c>
      <c r="B263" s="68" t="s">
        <v>40</v>
      </c>
      <c r="C263" s="73">
        <v>39000</v>
      </c>
      <c r="D263" s="14">
        <v>3172</v>
      </c>
      <c r="E263" s="14">
        <v>3172</v>
      </c>
      <c r="F263" s="18">
        <v>0</v>
      </c>
      <c r="G263" s="68" t="s">
        <v>776</v>
      </c>
      <c r="H263" s="64">
        <v>0.08</v>
      </c>
      <c r="I263" s="64">
        <v>0.08</v>
      </c>
      <c r="J263" s="64">
        <v>0.26</v>
      </c>
      <c r="K263" s="71">
        <v>0.27251206619168011</v>
      </c>
      <c r="L263" s="65">
        <v>3215.4</v>
      </c>
      <c r="M263" s="65">
        <v>3215.4</v>
      </c>
      <c r="N263" s="13">
        <v>1040.5</v>
      </c>
      <c r="O263" s="13">
        <v>1026.7</v>
      </c>
      <c r="P263" s="30" t="s">
        <v>5</v>
      </c>
      <c r="Q263" s="13">
        <v>3193.2</v>
      </c>
      <c r="R263" s="13">
        <v>3150.8</v>
      </c>
      <c r="S263" s="23">
        <v>3172</v>
      </c>
      <c r="T263" s="41"/>
      <c r="U263" s="13">
        <v>3172</v>
      </c>
      <c r="V263" s="13">
        <v>3172</v>
      </c>
      <c r="W263" s="24">
        <v>3172</v>
      </c>
      <c r="X263" s="58" t="str">
        <f>HYPERLINK("http://www.drinc.ca.gov/DNN/Portals/0/SelfCert/35e69e38-27e6-45fa-8775-7b61d003411c.xlsx","WS1")</f>
        <v>WS1</v>
      </c>
      <c r="Y263" s="10" t="s">
        <v>544</v>
      </c>
      <c r="Z263" s="26" t="s">
        <v>13</v>
      </c>
      <c r="AA263" s="13">
        <v>0</v>
      </c>
      <c r="AB263" s="15">
        <v>0</v>
      </c>
      <c r="AC263" s="30" t="s">
        <v>18</v>
      </c>
      <c r="AD263" s="29" t="s">
        <v>545</v>
      </c>
      <c r="AE263" s="32"/>
      <c r="AF263" s="32"/>
      <c r="AG263" s="17"/>
      <c r="AH263" s="27"/>
      <c r="AI263" s="27"/>
      <c r="AJ263" s="11"/>
      <c r="AK263" s="58" t="str">
        <f>HYPERLINK("http://www.drinc.ca.gov/DNN/Portals/0/SelfCert/3ca1d58f-d1df-46d8-9f98-741afca18016.pdf","Cert")</f>
        <v>Cert</v>
      </c>
      <c r="AL263" s="58" t="str">
        <f>HYPERLINK("http://www.drinc.ca.gov/DNN/Portals/0/SelfCert/5ad3fc1d-875f-4952-a114-fa857ece772d.docx","Analysis")</f>
        <v>Analysis</v>
      </c>
    </row>
    <row r="264" spans="1:38" s="19" customFormat="1" ht="14.4" customHeight="1" x14ac:dyDescent="0.3">
      <c r="A264" s="12" t="s">
        <v>34</v>
      </c>
      <c r="B264" s="68" t="s">
        <v>35</v>
      </c>
      <c r="C264" s="73">
        <v>7500</v>
      </c>
      <c r="D264" s="14">
        <v>1339.5</v>
      </c>
      <c r="E264" s="14">
        <v>1365355</v>
      </c>
      <c r="F264" s="18">
        <v>0</v>
      </c>
      <c r="G264" s="68" t="s">
        <v>776</v>
      </c>
      <c r="H264" s="64">
        <v>0.28000000000000003</v>
      </c>
      <c r="I264" s="64">
        <v>0.25</v>
      </c>
      <c r="J264" s="64">
        <v>0.24</v>
      </c>
      <c r="K264" s="71">
        <v>0.20182025475703724</v>
      </c>
      <c r="L264" s="65">
        <v>1382.8</v>
      </c>
      <c r="M264" s="65">
        <v>1382.8</v>
      </c>
      <c r="N264" s="13">
        <v>449.6</v>
      </c>
      <c r="O264" s="13">
        <v>423.4</v>
      </c>
      <c r="P264" s="30" t="s">
        <v>5</v>
      </c>
      <c r="Q264" s="13">
        <v>1379.7</v>
      </c>
      <c r="R264" s="13">
        <v>1299.4000000000001</v>
      </c>
      <c r="S264" s="34">
        <v>1339.5</v>
      </c>
      <c r="T264" s="41"/>
      <c r="U264" s="13">
        <v>2367560</v>
      </c>
      <c r="V264" s="13">
        <v>1866458</v>
      </c>
      <c r="W264" s="24">
        <v>1365355</v>
      </c>
      <c r="X264" s="58" t="str">
        <f>HYPERLINK("https://drinc.ca.gov/DNN/Portals/0/SelfCert/0ad9688e-5b4f-40fe-aa44-fd92b8ba8289.xlsx","WS1")</f>
        <v>WS1</v>
      </c>
      <c r="Y264" s="10"/>
      <c r="Z264" s="26" t="s">
        <v>13</v>
      </c>
      <c r="AA264" s="31">
        <v>-1364015.5</v>
      </c>
      <c r="AB264" s="66">
        <v>0</v>
      </c>
      <c r="AC264" s="30" t="s">
        <v>18</v>
      </c>
      <c r="AD264" s="29" t="s">
        <v>36</v>
      </c>
      <c r="AE264" s="32"/>
      <c r="AF264" s="32"/>
      <c r="AG264" s="17"/>
      <c r="AH264" s="36"/>
      <c r="AI264" s="36"/>
      <c r="AJ264" s="11"/>
      <c r="AK264" s="58" t="str">
        <f>HYPERLINK("https://drinc.ca.gov/DNN/Portals/0/SelfCert/9aab7fc4-705e-4dc5-add2-f403db7f7947.pdf","Cert")</f>
        <v>Cert</v>
      </c>
      <c r="AL264" s="58" t="str">
        <f>HYPERLINK("https://drinc.ca.gov/DNN/Portals/0/SelfCert/fff0d1cf-5de8-47d1-918a-c85a21a42421.docx","Analysis")</f>
        <v>Analysis</v>
      </c>
    </row>
    <row r="265" spans="1:38" s="19" customFormat="1" ht="14.4" customHeight="1" x14ac:dyDescent="0.3">
      <c r="A265" s="12" t="s">
        <v>103</v>
      </c>
      <c r="B265" s="68" t="s">
        <v>16</v>
      </c>
      <c r="C265" s="73">
        <v>37254.666666666664</v>
      </c>
      <c r="D265" s="14">
        <v>6640.5</v>
      </c>
      <c r="E265" s="14">
        <v>6993</v>
      </c>
      <c r="F265" s="18">
        <v>0</v>
      </c>
      <c r="G265" s="68" t="s">
        <v>830</v>
      </c>
      <c r="H265" s="64">
        <v>0.28000000000000003</v>
      </c>
      <c r="I265" s="64">
        <v>0.2</v>
      </c>
      <c r="J265" s="64">
        <v>0.21</v>
      </c>
      <c r="K265" s="71">
        <v>0.22742308964604696</v>
      </c>
      <c r="L265" s="65">
        <v>6450.3</v>
      </c>
      <c r="M265" s="65">
        <v>6205.7</v>
      </c>
      <c r="N265" s="13">
        <v>6554</v>
      </c>
      <c r="O265" s="13">
        <v>6727</v>
      </c>
      <c r="P265" s="30" t="s">
        <v>4</v>
      </c>
      <c r="Q265" s="13">
        <v>6554</v>
      </c>
      <c r="R265" s="13">
        <v>6727</v>
      </c>
      <c r="S265" s="24">
        <v>6640.5</v>
      </c>
      <c r="T265" s="41"/>
      <c r="U265" s="13">
        <v>6963</v>
      </c>
      <c r="V265" s="13">
        <v>6921</v>
      </c>
      <c r="W265" s="24">
        <v>6993</v>
      </c>
      <c r="X265" s="58" t="str">
        <f>HYPERLINK("http://drinc.ca.gov/DNN/Portals/0/SelfCert/8c6913f4-85eb-4924-a75f-595a136a7dd0.xlsx","WS1")</f>
        <v>WS1</v>
      </c>
      <c r="Y265" s="10"/>
      <c r="Z265" s="52" t="s">
        <v>31</v>
      </c>
      <c r="AA265" s="20">
        <v>-352.5</v>
      </c>
      <c r="AB265" s="21">
        <v>0</v>
      </c>
      <c r="AC265" s="16" t="s">
        <v>14</v>
      </c>
      <c r="AD265" s="11"/>
      <c r="AE265" s="65"/>
      <c r="AF265" s="65"/>
      <c r="AG265" s="15">
        <v>0</v>
      </c>
      <c r="AH265" s="38" t="s">
        <v>777</v>
      </c>
      <c r="AI265" s="28" t="str">
        <f>HYPERLINK("http://drinc.ca.gov/DNN/Portals/0/SelfCert/acb96d21-64f8-442d-9baf-d6aaf129c0bf.pdf","Legal")</f>
        <v>Legal</v>
      </c>
      <c r="AJ265" s="10"/>
      <c r="AK265" s="58" t="str">
        <f>HYPERLINK("http://drinc.ca.gov/DNN/Portals/0/SelfCert/41bd96a2-5290-490d-9b18-a84f0184ffa1.pdf","Cert")</f>
        <v>Cert</v>
      </c>
      <c r="AL265" s="58" t="str">
        <f>HYPERLINK("http://drinc.ca.gov/DNN/Portals/0/SelfCert/768b9e17-473a-448a-9a7e-d17867539b33.doc","Analysis")</f>
        <v>Analysis</v>
      </c>
    </row>
    <row r="266" spans="1:38" s="19" customFormat="1" ht="14.4" customHeight="1" x14ac:dyDescent="0.3">
      <c r="A266" s="12" t="s">
        <v>364</v>
      </c>
      <c r="B266" s="68" t="s">
        <v>11</v>
      </c>
      <c r="C266" s="73">
        <v>116306.25</v>
      </c>
      <c r="D266" s="14">
        <v>20496</v>
      </c>
      <c r="E266" s="14">
        <v>18544</v>
      </c>
      <c r="F266" s="18">
        <v>0.1</v>
      </c>
      <c r="G266" s="68" t="s">
        <v>776</v>
      </c>
      <c r="H266" s="64">
        <v>0.32</v>
      </c>
      <c r="I266" s="64">
        <v>0.28000000000000003</v>
      </c>
      <c r="J266" s="64">
        <v>0.26</v>
      </c>
      <c r="K266" s="71">
        <v>0.248318479905835</v>
      </c>
      <c r="L266" s="65">
        <v>21426.3</v>
      </c>
      <c r="M266" s="65">
        <v>21426.3</v>
      </c>
      <c r="N266" s="13">
        <v>20961</v>
      </c>
      <c r="O266" s="13">
        <v>20031</v>
      </c>
      <c r="P266" s="30" t="s">
        <v>4</v>
      </c>
      <c r="Q266" s="13">
        <v>20961</v>
      </c>
      <c r="R266" s="13">
        <v>20031</v>
      </c>
      <c r="S266" s="23">
        <v>20496</v>
      </c>
      <c r="T266" s="41"/>
      <c r="U266" s="13">
        <v>20496</v>
      </c>
      <c r="V266" s="13">
        <v>20495</v>
      </c>
      <c r="W266" s="24">
        <v>18544</v>
      </c>
      <c r="X266" s="58" t="str">
        <f>HYPERLINK("http://www.drinc.ca.gov/DNN/Portals/0/SelfCert/103e6d22-8196-48de-8f2f-92d2d48afe52.xlsx","WS1")</f>
        <v>WS1</v>
      </c>
      <c r="Y266" s="10"/>
      <c r="Z266" s="26" t="s">
        <v>13</v>
      </c>
      <c r="AA266" s="13">
        <v>1952</v>
      </c>
      <c r="AB266" s="15">
        <v>0.1</v>
      </c>
      <c r="AC266" s="30" t="s">
        <v>18</v>
      </c>
      <c r="AD266" s="29" t="s">
        <v>365</v>
      </c>
      <c r="AE266" s="32"/>
      <c r="AF266" s="32"/>
      <c r="AG266" s="17"/>
      <c r="AH266" s="27"/>
      <c r="AI266" s="27"/>
      <c r="AJ266" s="11"/>
      <c r="AK266" s="58" t="str">
        <f>HYPERLINK("http://www.drinc.ca.gov/DNN/Portals/0/SelfCert/7ec38771-fdb4-4387-af35-368e5d544e4d.pdf","Cert")</f>
        <v>Cert</v>
      </c>
      <c r="AL266" s="58" t="str">
        <f>HYPERLINK("http://www.drinc.ca.gov/DNN/Portals/0/SelfCert/039eed14-8f1f-4bba-9a18-39933bb04799.xlsx","Analysis")</f>
        <v>Analysis</v>
      </c>
    </row>
    <row r="267" spans="1:38" s="19" customFormat="1" ht="14.4" customHeight="1" x14ac:dyDescent="0.3">
      <c r="A267" s="12" t="s">
        <v>412</v>
      </c>
      <c r="B267" s="68" t="s">
        <v>50</v>
      </c>
      <c r="C267" s="73">
        <v>19509</v>
      </c>
      <c r="D267" s="14">
        <v>4271.8999999999996</v>
      </c>
      <c r="E267" s="14">
        <v>3845</v>
      </c>
      <c r="F267" s="18">
        <v>0.1</v>
      </c>
      <c r="G267" s="68" t="s">
        <v>776</v>
      </c>
      <c r="H267" s="64">
        <v>0.36</v>
      </c>
      <c r="I267" s="64">
        <v>0.33</v>
      </c>
      <c r="J267" s="64">
        <v>0.39</v>
      </c>
      <c r="K267" s="71">
        <v>0.20341880341880347</v>
      </c>
      <c r="L267" s="65">
        <v>4658</v>
      </c>
      <c r="M267" s="65">
        <v>4658</v>
      </c>
      <c r="N267" s="13">
        <v>1518</v>
      </c>
      <c r="O267" s="13">
        <v>1266</v>
      </c>
      <c r="P267" s="30" t="s">
        <v>5</v>
      </c>
      <c r="Q267" s="13">
        <v>4658.6000000000004</v>
      </c>
      <c r="R267" s="13">
        <v>3885.2</v>
      </c>
      <c r="S267" s="23">
        <v>4271.8999999999996</v>
      </c>
      <c r="T267" s="41"/>
      <c r="U267" s="13">
        <v>3845</v>
      </c>
      <c r="V267" s="13">
        <v>3845</v>
      </c>
      <c r="W267" s="24">
        <v>3845</v>
      </c>
      <c r="X267" s="58" t="str">
        <f>HYPERLINK("http://drinc.ca.gov/DNN/Portals/0/SelfCert/09dccdf4-7e5b-46fc-9d59-47c143473c8b.xlsx","WS1")</f>
        <v>WS1</v>
      </c>
      <c r="Y267" s="10" t="s">
        <v>775</v>
      </c>
      <c r="Z267" s="26" t="s">
        <v>13</v>
      </c>
      <c r="AA267" s="13">
        <v>426.9</v>
      </c>
      <c r="AB267" s="15">
        <v>0.1</v>
      </c>
      <c r="AC267" s="30" t="s">
        <v>14</v>
      </c>
      <c r="AD267" s="29" t="s">
        <v>413</v>
      </c>
      <c r="AE267" s="32"/>
      <c r="AF267" s="32"/>
      <c r="AG267" s="17"/>
      <c r="AH267" s="27"/>
      <c r="AI267" s="27"/>
      <c r="AJ267" s="11"/>
      <c r="AK267" s="58" t="str">
        <f>HYPERLINK("http://drinc.ca.gov/DNN/Portals/0/SelfCert/37639fb8-3a85-4126-8c05-a61b6f5c9653.pdf","Cert")</f>
        <v>Cert</v>
      </c>
      <c r="AL267" s="58" t="str">
        <f>HYPERLINK("http://drinc.ca.gov/DNN/Portals/0/SelfCert/672d29b3-161a-428f-85a0-9c81db5ff89e.xlsx","Analysis")</f>
        <v>Analysis</v>
      </c>
    </row>
    <row r="268" spans="1:38" s="19" customFormat="1" ht="14.4" customHeight="1" x14ac:dyDescent="0.3">
      <c r="A268" s="12" t="s">
        <v>697</v>
      </c>
      <c r="B268" s="68" t="s">
        <v>23</v>
      </c>
      <c r="C268" s="73">
        <v>18795</v>
      </c>
      <c r="D268" s="14">
        <v>2790.5</v>
      </c>
      <c r="E268" s="14">
        <v>6936</v>
      </c>
      <c r="F268" s="18">
        <v>0</v>
      </c>
      <c r="G268" s="68" t="s">
        <v>798</v>
      </c>
      <c r="H268" s="64">
        <v>0.28000000000000003</v>
      </c>
      <c r="I268" s="64">
        <v>0.24</v>
      </c>
      <c r="J268" s="64">
        <v>0.17</v>
      </c>
      <c r="K268" s="71">
        <v>0.12507825551303831</v>
      </c>
      <c r="L268" s="65">
        <v>2839.5</v>
      </c>
      <c r="M268" s="65">
        <v>2839.5</v>
      </c>
      <c r="N268" s="13">
        <v>2844</v>
      </c>
      <c r="O268" s="13">
        <v>2737</v>
      </c>
      <c r="P268" s="30" t="s">
        <v>4</v>
      </c>
      <c r="Q268" s="13">
        <v>2844</v>
      </c>
      <c r="R268" s="13">
        <v>2737</v>
      </c>
      <c r="S268" s="23">
        <v>2790.5</v>
      </c>
      <c r="T268" s="41"/>
      <c r="U268" s="13">
        <v>6995</v>
      </c>
      <c r="V268" s="13">
        <v>6995</v>
      </c>
      <c r="W268" s="24">
        <v>6995</v>
      </c>
      <c r="X268" s="58" t="str">
        <f>HYPERLINK("http://drinc.ca.gov/DNN/Portals/0/SelfCert/4e040269-bc44-440d-86f9-6c058a51c12a.xlsx","WS1")</f>
        <v>WS1</v>
      </c>
      <c r="Y268" s="10"/>
      <c r="Z268" s="26" t="s">
        <v>13</v>
      </c>
      <c r="AA268" s="13">
        <v>-4204.5</v>
      </c>
      <c r="AB268" s="66">
        <v>0</v>
      </c>
      <c r="AC268" s="30" t="s">
        <v>14</v>
      </c>
      <c r="AD268" s="29"/>
      <c r="AE268" s="32"/>
      <c r="AF268" s="32"/>
      <c r="AG268" s="17"/>
      <c r="AH268" s="27"/>
      <c r="AI268" s="27"/>
      <c r="AJ268" s="11"/>
      <c r="AK268" s="58" t="str">
        <f>HYPERLINK("http://drinc.ca.gov/DNN/Portals/0/SelfCert/3b5523a1-ff89-406a-906e-4a09b09fa0a6.pdf","Cert")</f>
        <v>Cert</v>
      </c>
      <c r="AL268" s="58" t="str">
        <f>HYPERLINK("http://drinc.ca.gov/DNN/Portals/0/SelfCert/240207fa-0425-47e3-8e8b-23a8b04817e8.xls","Analysis")</f>
        <v>Analysis</v>
      </c>
    </row>
    <row r="269" spans="1:38" s="19" customFormat="1" ht="14.4" customHeight="1" x14ac:dyDescent="0.3">
      <c r="A269" s="12" t="s">
        <v>542</v>
      </c>
      <c r="B269" s="68" t="s">
        <v>16</v>
      </c>
      <c r="C269" s="73">
        <v>25453.75</v>
      </c>
      <c r="D269" s="14">
        <v>2312.9</v>
      </c>
      <c r="E269" s="14">
        <v>6290.8</v>
      </c>
      <c r="F269" s="18">
        <v>0</v>
      </c>
      <c r="G269" s="68" t="s">
        <v>776</v>
      </c>
      <c r="H269" s="64">
        <v>0.12</v>
      </c>
      <c r="I269" s="64">
        <v>0.08</v>
      </c>
      <c r="J269" s="64">
        <v>0.2</v>
      </c>
      <c r="K269" s="71">
        <v>0.18792099035135634</v>
      </c>
      <c r="L269" s="65">
        <v>2358.5</v>
      </c>
      <c r="M269" s="65">
        <v>2358.5</v>
      </c>
      <c r="N269" s="13">
        <v>2314.3000000000002</v>
      </c>
      <c r="O269" s="13">
        <v>2311.4</v>
      </c>
      <c r="P269" s="30" t="s">
        <v>4</v>
      </c>
      <c r="Q269" s="13">
        <v>2314.3000000000002</v>
      </c>
      <c r="R269" s="13">
        <v>2311.4</v>
      </c>
      <c r="S269" s="23">
        <v>2312.9</v>
      </c>
      <c r="T269" s="41" t="s">
        <v>756</v>
      </c>
      <c r="U269" s="13">
        <v>4277.8</v>
      </c>
      <c r="V269" s="13">
        <v>6302.8</v>
      </c>
      <c r="W269" s="24">
        <v>6290.8</v>
      </c>
      <c r="X269" s="58" t="str">
        <f>HYPERLINK("http://drinc.ca.gov/DNN/Portals/0/SelfCert/d4de908d-9526-4810-afca-a9a1661369f4.xlsx","WS1")</f>
        <v>WS1</v>
      </c>
      <c r="Y269" s="10" t="s">
        <v>756</v>
      </c>
      <c r="Z269" s="26" t="s">
        <v>13</v>
      </c>
      <c r="AA269" s="13">
        <v>-3978</v>
      </c>
      <c r="AB269" s="66">
        <v>0</v>
      </c>
      <c r="AC269" s="30" t="s">
        <v>18</v>
      </c>
      <c r="AD269" s="29"/>
      <c r="AE269" s="32"/>
      <c r="AF269" s="32"/>
      <c r="AG269" s="17"/>
      <c r="AH269" s="27"/>
      <c r="AI269" s="27" t="str">
        <f>HYPERLINK("https://drinc.ca.gov/DNN/Portals/0/SelfCert/7ccb57d7-8307-4f07-b3d9-3e1bd3a45900.pdf","Legal")</f>
        <v>Legal</v>
      </c>
      <c r="AJ269" s="11"/>
      <c r="AK269" s="58" t="str">
        <f>HYPERLINK("http://drinc.ca.gov/DNN/Portals/0/SelfCert/49e44cc1-a153-4571-a16c-2a91563ea1df.pdf","Cert")</f>
        <v>Cert</v>
      </c>
      <c r="AL269" s="58" t="str">
        <f>HYPERLINK("http://drinc.ca.gov/DNN/Portals/0/SelfCert/057fe3f5-272f-476e-9631-fc06ffadbaf2.pdf","Analysis")</f>
        <v>Analysis</v>
      </c>
    </row>
    <row r="270" spans="1:38" s="19" customFormat="1" ht="14.4" customHeight="1" x14ac:dyDescent="0.3">
      <c r="A270" s="12" t="s">
        <v>361</v>
      </c>
      <c r="B270" s="68" t="s">
        <v>11</v>
      </c>
      <c r="C270" s="73">
        <v>21266.916666666668</v>
      </c>
      <c r="D270" s="14">
        <v>3159.5</v>
      </c>
      <c r="E270" s="14">
        <v>3160</v>
      </c>
      <c r="F270" s="18">
        <v>0</v>
      </c>
      <c r="G270" s="68" t="s">
        <v>776</v>
      </c>
      <c r="H270" s="64">
        <v>0.32</v>
      </c>
      <c r="I270" s="64">
        <v>0.24</v>
      </c>
      <c r="J270" s="64">
        <v>0.21</v>
      </c>
      <c r="K270" s="71">
        <v>3.8409808889305785E-2</v>
      </c>
      <c r="L270" s="65">
        <v>3115.5</v>
      </c>
      <c r="M270" s="65">
        <v>3115.5</v>
      </c>
      <c r="N270" s="13">
        <v>3115.7</v>
      </c>
      <c r="O270" s="13">
        <v>3203.3</v>
      </c>
      <c r="P270" s="30" t="s">
        <v>4</v>
      </c>
      <c r="Q270" s="13">
        <v>3115.7</v>
      </c>
      <c r="R270" s="13">
        <v>3203.3</v>
      </c>
      <c r="S270" s="23">
        <v>3159.5</v>
      </c>
      <c r="T270" s="41" t="s">
        <v>362</v>
      </c>
      <c r="U270" s="13">
        <v>3160</v>
      </c>
      <c r="V270" s="13">
        <v>3160</v>
      </c>
      <c r="W270" s="24">
        <v>3160</v>
      </c>
      <c r="X270" s="58" t="str">
        <f>HYPERLINK("http://drinc.ca.gov/DNN/Portals/0/SelfCert/af7498b5-62c4-4303-9e2e-4cca92b69969.xlsx","WS1")</f>
        <v>WS1</v>
      </c>
      <c r="Y270" s="10"/>
      <c r="Z270" s="26" t="s">
        <v>13</v>
      </c>
      <c r="AA270" s="13">
        <v>-0.5</v>
      </c>
      <c r="AB270" s="15">
        <v>0</v>
      </c>
      <c r="AC270" s="30" t="s">
        <v>14</v>
      </c>
      <c r="AD270" s="29"/>
      <c r="AE270" s="32"/>
      <c r="AF270" s="32"/>
      <c r="AG270" s="17"/>
      <c r="AH270" s="27"/>
      <c r="AI270" s="27"/>
      <c r="AJ270" s="11"/>
      <c r="AK270" s="58" t="str">
        <f>HYPERLINK("http://drinc.ca.gov/DNN/Portals/0/SelfCert/478a2a48-15cc-44c5-8530-1e36de5e8c18.pdf","Cert")</f>
        <v>Cert</v>
      </c>
      <c r="AL270" s="58" t="str">
        <f>HYPERLINK("http://drinc.ca.gov/DNN/Portals/0/SelfCert/da37be59-6891-4e17-bd22-79d536d523ed.docx","Analysis")</f>
        <v>Analysis</v>
      </c>
    </row>
    <row r="271" spans="1:38" s="19" customFormat="1" ht="14.4" customHeight="1" x14ac:dyDescent="0.3">
      <c r="A271" s="12" t="s">
        <v>158</v>
      </c>
      <c r="B271" s="68" t="s">
        <v>58</v>
      </c>
      <c r="C271" s="73">
        <v>7840</v>
      </c>
      <c r="D271" s="14">
        <v>2290.9</v>
      </c>
      <c r="E271" s="14">
        <v>6300</v>
      </c>
      <c r="F271" s="18">
        <v>0</v>
      </c>
      <c r="G271" s="68" t="s">
        <v>776</v>
      </c>
      <c r="H271" s="64">
        <v>0.32</v>
      </c>
      <c r="I271" s="64">
        <v>0.3</v>
      </c>
      <c r="J271" s="64">
        <v>0.18</v>
      </c>
      <c r="K271" s="71">
        <v>0.22334827519002143</v>
      </c>
      <c r="L271" s="65">
        <v>2366.9</v>
      </c>
      <c r="M271" s="65">
        <v>2366.9</v>
      </c>
      <c r="N271" s="13">
        <v>790.2</v>
      </c>
      <c r="O271" s="13">
        <v>702.8</v>
      </c>
      <c r="P271" s="30" t="s">
        <v>5</v>
      </c>
      <c r="Q271" s="13">
        <v>2425</v>
      </c>
      <c r="R271" s="13">
        <v>2156.8000000000002</v>
      </c>
      <c r="S271" s="23">
        <v>2290.9</v>
      </c>
      <c r="T271" s="41" t="s">
        <v>159</v>
      </c>
      <c r="U271" s="13">
        <v>6300</v>
      </c>
      <c r="V271" s="13">
        <v>6300</v>
      </c>
      <c r="W271" s="24">
        <v>6300</v>
      </c>
      <c r="X271" s="58" t="str">
        <f>HYPERLINK("http://drinc.ca.gov/DNN/Portals/0/SelfCert/0a2ac46d-e1b2-4e5a-bc63-4f7657986a62.xlsx","WS1")</f>
        <v>WS1</v>
      </c>
      <c r="Y271" s="10" t="s">
        <v>160</v>
      </c>
      <c r="Z271" s="26" t="s">
        <v>13</v>
      </c>
      <c r="AA271" s="13">
        <v>-4009.1</v>
      </c>
      <c r="AB271" s="66">
        <v>0</v>
      </c>
      <c r="AC271" s="30" t="s">
        <v>14</v>
      </c>
      <c r="AD271" s="29"/>
      <c r="AE271" s="32"/>
      <c r="AF271" s="32"/>
      <c r="AG271" s="17"/>
      <c r="AH271" s="27"/>
      <c r="AI271" s="27"/>
      <c r="AJ271" s="11"/>
      <c r="AK271" s="58" t="str">
        <f>HYPERLINK("http://drinc.ca.gov/DNN/Portals/0/SelfCert/0ff10e29-88d7-4b09-aba9-bdeafc903e2f.pdf","Cert")</f>
        <v>Cert</v>
      </c>
      <c r="AL271" s="58" t="str">
        <f>HYPERLINK("http://drinc.ca.gov/DNN/Portals/0/SelfCert/525b1af8-d8ba-4a2c-a272-f857198f4118.xlsx","Analysis")</f>
        <v>Analysis</v>
      </c>
    </row>
    <row r="272" spans="1:38" s="19" customFormat="1" ht="14.4" customHeight="1" x14ac:dyDescent="0.3">
      <c r="A272" s="12" t="s">
        <v>396</v>
      </c>
      <c r="B272" s="68" t="s">
        <v>16</v>
      </c>
      <c r="C272" s="73">
        <v>31666.666666666668</v>
      </c>
      <c r="D272" s="14">
        <v>6499.9</v>
      </c>
      <c r="E272" s="14">
        <v>9920</v>
      </c>
      <c r="F272" s="18">
        <v>0</v>
      </c>
      <c r="G272" s="68" t="s">
        <v>776</v>
      </c>
      <c r="H272" s="64">
        <v>0.28000000000000003</v>
      </c>
      <c r="I272" s="64">
        <v>0.2</v>
      </c>
      <c r="J272" s="64">
        <v>0.21</v>
      </c>
      <c r="K272" s="71">
        <v>0.14773612192679941</v>
      </c>
      <c r="L272" s="65">
        <v>5601.6</v>
      </c>
      <c r="M272" s="65">
        <v>5601.6</v>
      </c>
      <c r="N272" s="13">
        <v>2076</v>
      </c>
      <c r="O272" s="13">
        <v>2160</v>
      </c>
      <c r="P272" s="30" t="s">
        <v>5</v>
      </c>
      <c r="Q272" s="13">
        <v>6371</v>
      </c>
      <c r="R272" s="13">
        <v>6628.8</v>
      </c>
      <c r="S272" s="23">
        <v>6499.9</v>
      </c>
      <c r="T272" s="41" t="s">
        <v>397</v>
      </c>
      <c r="U272" s="13">
        <v>9935</v>
      </c>
      <c r="V272" s="13">
        <v>9925</v>
      </c>
      <c r="W272" s="24">
        <v>9920</v>
      </c>
      <c r="X272" s="58" t="str">
        <f>HYPERLINK("http://drinc.ca.gov/DNN/Portals/0/SelfCert/54d000aa-3cd5-44c0-a3f3-d5d955696292.xlsx","WS1")</f>
        <v>WS1</v>
      </c>
      <c r="Y272" s="10" t="s">
        <v>398</v>
      </c>
      <c r="Z272" s="26" t="s">
        <v>13</v>
      </c>
      <c r="AA272" s="13">
        <v>-3420.1</v>
      </c>
      <c r="AB272" s="66">
        <v>0</v>
      </c>
      <c r="AC272" s="30" t="s">
        <v>14</v>
      </c>
      <c r="AD272" s="29"/>
      <c r="AE272" s="32"/>
      <c r="AF272" s="32"/>
      <c r="AG272" s="17"/>
      <c r="AH272" s="27"/>
      <c r="AI272" s="27"/>
      <c r="AJ272" s="11"/>
      <c r="AK272" s="58" t="str">
        <f>HYPERLINK("http://drinc.ca.gov/DNN/Portals/0/SelfCert/d10b4681-1e2f-4bb2-a1e7-a5795b7295c7.pdf","Cert")</f>
        <v>Cert</v>
      </c>
      <c r="AL272" s="58" t="str">
        <f>HYPERLINK("http://drinc.ca.gov/DNN/Portals/0/SelfCert/23cfcb1d-ed1f-448f-8462-0d3a234304d1.doc","Analysis")</f>
        <v>Analysis</v>
      </c>
    </row>
    <row r="273" spans="1:38" s="19" customFormat="1" ht="14.4" customHeight="1" x14ac:dyDescent="0.3">
      <c r="A273" s="12" t="s">
        <v>304</v>
      </c>
      <c r="B273" s="68" t="s">
        <v>11</v>
      </c>
      <c r="C273" s="73">
        <v>20352</v>
      </c>
      <c r="D273" s="14">
        <v>5528</v>
      </c>
      <c r="E273" s="14">
        <v>5964</v>
      </c>
      <c r="F273" s="18">
        <v>0</v>
      </c>
      <c r="G273" s="68" t="s">
        <v>776</v>
      </c>
      <c r="H273" s="64">
        <v>0.36</v>
      </c>
      <c r="I273" s="64">
        <v>0.32</v>
      </c>
      <c r="J273" s="64">
        <v>0.34</v>
      </c>
      <c r="K273" s="71">
        <v>0.37225886967373856</v>
      </c>
      <c r="L273" s="65">
        <v>5801.6</v>
      </c>
      <c r="M273" s="65">
        <v>5801.6</v>
      </c>
      <c r="N273" s="13">
        <v>5801.6</v>
      </c>
      <c r="O273" s="13">
        <v>5254.3</v>
      </c>
      <c r="P273" s="30" t="s">
        <v>4</v>
      </c>
      <c r="Q273" s="13">
        <v>5801.6</v>
      </c>
      <c r="R273" s="13">
        <v>5254.3</v>
      </c>
      <c r="S273" s="23">
        <v>5528</v>
      </c>
      <c r="T273" s="41"/>
      <c r="U273" s="13">
        <v>6069</v>
      </c>
      <c r="V273" s="13">
        <v>6038</v>
      </c>
      <c r="W273" s="24">
        <v>5964</v>
      </c>
      <c r="X273" s="58" t="str">
        <f>HYPERLINK("http://drinc.ca.gov/DNN/Portals/0/SelfCert/8ef2b90e-c4c2-4a92-aad0-bbca80c13277.xlsx","WS1")</f>
        <v>WS1</v>
      </c>
      <c r="Y273" s="10" t="s">
        <v>305</v>
      </c>
      <c r="Z273" s="26" t="s">
        <v>13</v>
      </c>
      <c r="AA273" s="13">
        <v>-436</v>
      </c>
      <c r="AB273" s="66">
        <v>0</v>
      </c>
      <c r="AC273" s="30" t="s">
        <v>18</v>
      </c>
      <c r="AD273" s="29" t="s">
        <v>306</v>
      </c>
      <c r="AE273" s="32"/>
      <c r="AF273" s="32"/>
      <c r="AG273" s="17"/>
      <c r="AH273" s="27"/>
      <c r="AI273" s="27"/>
      <c r="AJ273" s="11"/>
      <c r="AK273" s="58" t="str">
        <f>HYPERLINK("http://drinc.ca.gov/DNN/Portals/0/SelfCert/a2493566-0826-40d1-ba6a-b60819fc73fb.pdf","Cert")</f>
        <v>Cert</v>
      </c>
      <c r="AL273" s="58" t="str">
        <f>HYPERLINK("http://drinc.ca.gov/DNN/Portals/0/SelfCert/7e1c481e-d8a4-456d-b26c-f0241b24fc83.docx","Analysis")</f>
        <v>Analysis</v>
      </c>
    </row>
    <row r="274" spans="1:38" s="19" customFormat="1" ht="14.4" customHeight="1" x14ac:dyDescent="0.3">
      <c r="A274" s="12" t="s">
        <v>626</v>
      </c>
      <c r="B274" s="68" t="s">
        <v>16</v>
      </c>
      <c r="C274" s="73">
        <v>29955</v>
      </c>
      <c r="D274" s="14">
        <v>6664.5</v>
      </c>
      <c r="E274" s="14">
        <v>6665</v>
      </c>
      <c r="F274" s="18">
        <v>0</v>
      </c>
      <c r="G274" s="68" t="s">
        <v>830</v>
      </c>
      <c r="H274" s="64">
        <v>0.32</v>
      </c>
      <c r="I274" s="64">
        <v>0.24</v>
      </c>
      <c r="J274" s="64">
        <v>0.3</v>
      </c>
      <c r="K274" s="71">
        <v>0.26967723669309174</v>
      </c>
      <c r="L274" s="65">
        <v>6753</v>
      </c>
      <c r="M274" s="65">
        <v>6753</v>
      </c>
      <c r="N274" s="13">
        <v>6752</v>
      </c>
      <c r="O274" s="13">
        <v>6577</v>
      </c>
      <c r="P274" s="30" t="s">
        <v>4</v>
      </c>
      <c r="Q274" s="13">
        <v>6752</v>
      </c>
      <c r="R274" s="13">
        <v>6577</v>
      </c>
      <c r="S274" s="23">
        <v>6664.5</v>
      </c>
      <c r="T274" s="41"/>
      <c r="U274" s="13">
        <v>6665</v>
      </c>
      <c r="V274" s="13">
        <v>6665</v>
      </c>
      <c r="W274" s="24">
        <v>6665</v>
      </c>
      <c r="X274" s="58" t="str">
        <f>HYPERLINK("https://drinc.ca.gov/DNN/Portals/0/SelfCert/4e555625-44dd-413e-9b89-87bbe27fd2a7.xlsx","WS1")</f>
        <v>WS1</v>
      </c>
      <c r="Y274" s="10" t="s">
        <v>627</v>
      </c>
      <c r="Z274" s="52" t="s">
        <v>31</v>
      </c>
      <c r="AA274" s="32">
        <v>-0.5</v>
      </c>
      <c r="AB274" s="47">
        <v>0</v>
      </c>
      <c r="AC274" s="16"/>
      <c r="AD274" s="74"/>
      <c r="AE274" s="45"/>
      <c r="AF274" s="45"/>
      <c r="AG274" s="75"/>
      <c r="AH274" s="38" t="s">
        <v>777</v>
      </c>
      <c r="AI274" s="37" t="str">
        <f>HYPERLINK("http://drinc.ca.gov/DNN/Portals/0/SelfCert/dfd724de-f543-4896-8cc4-e778ead3f440.pdf","Legal")</f>
        <v>Legal</v>
      </c>
      <c r="AJ274" s="76" t="s">
        <v>628</v>
      </c>
      <c r="AK274" s="58" t="str">
        <f>HYPERLINK("https://drinc.ca.gov/DNN/Portals/0/SelfCert/124250ea-314e-4285-a3ef-5389a4dd211e.pdf","Cert")</f>
        <v>Cert</v>
      </c>
      <c r="AL274" s="58" t="str">
        <f>HYPERLINK("https://drinc.ca.gov/DNN/Portals/0/SelfCert/08f53629-5efb-48c5-905f-3fe2d58d4fb0.docx","Analysis")</f>
        <v>Analysis</v>
      </c>
    </row>
    <row r="275" spans="1:38" s="19" customFormat="1" ht="14.4" customHeight="1" x14ac:dyDescent="0.3">
      <c r="A275" s="12" t="s">
        <v>448</v>
      </c>
      <c r="B275" s="68" t="s">
        <v>16</v>
      </c>
      <c r="C275" s="73">
        <v>23645</v>
      </c>
      <c r="D275" s="14">
        <v>3303.5</v>
      </c>
      <c r="E275" s="14">
        <v>3570</v>
      </c>
      <c r="F275" s="18">
        <v>0</v>
      </c>
      <c r="G275" s="68" t="s">
        <v>776</v>
      </c>
      <c r="H275" s="64">
        <v>0.24</v>
      </c>
      <c r="I275" s="64">
        <v>0.22</v>
      </c>
      <c r="J275" s="64">
        <v>0.21</v>
      </c>
      <c r="K275" s="71">
        <v>0.21296296296296291</v>
      </c>
      <c r="L275" s="65">
        <v>3383</v>
      </c>
      <c r="M275" s="65">
        <v>3383</v>
      </c>
      <c r="N275" s="13">
        <v>3406</v>
      </c>
      <c r="O275" s="13">
        <v>3201</v>
      </c>
      <c r="P275" s="30" t="s">
        <v>4</v>
      </c>
      <c r="Q275" s="13">
        <v>3406</v>
      </c>
      <c r="R275" s="13">
        <v>3201</v>
      </c>
      <c r="S275" s="23">
        <v>3303.5</v>
      </c>
      <c r="T275" s="41" t="s">
        <v>449</v>
      </c>
      <c r="U275" s="13">
        <v>3570</v>
      </c>
      <c r="V275" s="13">
        <v>3570</v>
      </c>
      <c r="W275" s="24">
        <v>3570</v>
      </c>
      <c r="X275" s="58" t="str">
        <f>HYPERLINK("http://drinc.ca.gov/DNN/Portals/0/SelfCert/9a23e1c3-7051-4c6d-874b-5ddb9377bbf1.xlsx","WS1")</f>
        <v>WS1</v>
      </c>
      <c r="Y275" s="10" t="s">
        <v>450</v>
      </c>
      <c r="Z275" s="26" t="s">
        <v>13</v>
      </c>
      <c r="AA275" s="13">
        <v>-266.5</v>
      </c>
      <c r="AB275" s="66">
        <v>0</v>
      </c>
      <c r="AC275" s="30" t="s">
        <v>14</v>
      </c>
      <c r="AD275" s="29"/>
      <c r="AE275" s="32"/>
      <c r="AF275" s="32"/>
      <c r="AG275" s="17"/>
      <c r="AH275" s="27"/>
      <c r="AI275" s="27"/>
      <c r="AJ275" s="11"/>
      <c r="AK275" s="58" t="str">
        <f>HYPERLINK("http://drinc.ca.gov/DNN/Portals/0/SelfCert/0b36384a-4ca1-4099-a7ea-eee0fff91108.pdf","Cert")</f>
        <v>Cert</v>
      </c>
      <c r="AL275" s="58" t="str">
        <f>HYPERLINK("http://drinc.ca.gov/DNN/Portals/0/SelfCert/084fb026-a394-4918-a067-cc3e31e88d78.pdf","Analysis")</f>
        <v>Analysis</v>
      </c>
    </row>
    <row r="276" spans="1:38" s="19" customFormat="1" ht="14.4" customHeight="1" x14ac:dyDescent="0.3">
      <c r="A276" s="12" t="s">
        <v>618</v>
      </c>
      <c r="B276" s="68" t="s">
        <v>16</v>
      </c>
      <c r="C276" s="73">
        <v>15069.75</v>
      </c>
      <c r="D276" s="14">
        <v>3847</v>
      </c>
      <c r="E276" s="14">
        <v>8187</v>
      </c>
      <c r="F276" s="18">
        <v>0</v>
      </c>
      <c r="G276" s="68" t="s">
        <v>776</v>
      </c>
      <c r="H276" s="64">
        <v>0.36</v>
      </c>
      <c r="I276" s="64">
        <v>0.33</v>
      </c>
      <c r="J276" s="64">
        <v>0.31</v>
      </c>
      <c r="K276" s="71">
        <v>0.25654401490451784</v>
      </c>
      <c r="L276" s="65">
        <v>3957.9</v>
      </c>
      <c r="M276" s="65">
        <v>3957.9</v>
      </c>
      <c r="N276" s="13">
        <v>3958</v>
      </c>
      <c r="O276" s="13">
        <v>3736</v>
      </c>
      <c r="P276" s="30" t="s">
        <v>4</v>
      </c>
      <c r="Q276" s="13">
        <v>3958</v>
      </c>
      <c r="R276" s="13">
        <v>3736</v>
      </c>
      <c r="S276" s="23">
        <v>3847</v>
      </c>
      <c r="T276" s="41" t="s">
        <v>619</v>
      </c>
      <c r="U276" s="13">
        <v>8187</v>
      </c>
      <c r="V276" s="13">
        <v>8187</v>
      </c>
      <c r="W276" s="24">
        <v>8187</v>
      </c>
      <c r="X276" s="58" t="str">
        <f>HYPERLINK("http://drinc.ca.gov/DNN/Portals/0/SelfCert/c3d2a73d-f0e0-4f15-bd6a-3a32ae4b3329.xlsx","WS1")</f>
        <v>WS1</v>
      </c>
      <c r="Y276" s="10" t="s">
        <v>619</v>
      </c>
      <c r="Z276" s="26" t="s">
        <v>13</v>
      </c>
      <c r="AA276" s="13">
        <v>-4340</v>
      </c>
      <c r="AB276" s="66">
        <v>0</v>
      </c>
      <c r="AC276" s="30" t="s">
        <v>14</v>
      </c>
      <c r="AD276" s="29" t="s">
        <v>620</v>
      </c>
      <c r="AE276" s="32"/>
      <c r="AF276" s="32"/>
      <c r="AG276" s="17"/>
      <c r="AH276" s="27"/>
      <c r="AI276" s="27"/>
      <c r="AJ276" s="11"/>
      <c r="AK276" s="58" t="str">
        <f>HYPERLINK("http://drinc.ca.gov/DNN/Portals/0/SelfCert/039032ce-1328-4022-9016-e6815a0ac39d.pdf","Cert")</f>
        <v>Cert</v>
      </c>
      <c r="AL276" s="58" t="str">
        <f>HYPERLINK("http://drinc.ca.gov/DNN/Portals/0/SelfCert/34a61858-06e5-4dc4-a729-e57624d8437e.docx","Analysis")</f>
        <v>Analysis</v>
      </c>
    </row>
    <row r="277" spans="1:38" s="19" customFormat="1" ht="14.4" customHeight="1" x14ac:dyDescent="0.3">
      <c r="A277" s="12" t="s">
        <v>686</v>
      </c>
      <c r="B277" s="68" t="s">
        <v>16</v>
      </c>
      <c r="C277" s="73">
        <v>9600</v>
      </c>
      <c r="D277" s="14">
        <v>2135</v>
      </c>
      <c r="E277" s="14">
        <v>2135</v>
      </c>
      <c r="F277" s="18">
        <v>0</v>
      </c>
      <c r="G277" s="68" t="s">
        <v>776</v>
      </c>
      <c r="H277" s="64">
        <v>0.36</v>
      </c>
      <c r="I277" s="64">
        <v>0.34</v>
      </c>
      <c r="J277" s="64">
        <v>0.3</v>
      </c>
      <c r="K277" s="71">
        <v>0.19634703196347036</v>
      </c>
      <c r="L277" s="65">
        <v>2229</v>
      </c>
      <c r="M277" s="65">
        <v>2229</v>
      </c>
      <c r="N277" s="13">
        <v>2129</v>
      </c>
      <c r="O277" s="13">
        <v>2141</v>
      </c>
      <c r="P277" s="30" t="s">
        <v>4</v>
      </c>
      <c r="Q277" s="13">
        <v>2129</v>
      </c>
      <c r="R277" s="13">
        <v>2141</v>
      </c>
      <c r="S277" s="23">
        <v>2135</v>
      </c>
      <c r="T277" s="41"/>
      <c r="U277" s="13">
        <v>2135</v>
      </c>
      <c r="V277" s="13">
        <v>2135</v>
      </c>
      <c r="W277" s="24">
        <v>2135</v>
      </c>
      <c r="X277" s="58" t="str">
        <f>HYPERLINK("http://drinc.ca.gov/DNN/Portals/0/SelfCert/f7a967a6-1cb7-4424-bced-9eab5a201f25.xlsx","WS1")</f>
        <v>WS1</v>
      </c>
      <c r="Y277" s="10"/>
      <c r="Z277" s="26" t="s">
        <v>13</v>
      </c>
      <c r="AA277" s="13">
        <v>0</v>
      </c>
      <c r="AB277" s="15">
        <v>0</v>
      </c>
      <c r="AC277" s="30" t="s">
        <v>18</v>
      </c>
      <c r="AD277" s="29" t="s">
        <v>687</v>
      </c>
      <c r="AE277" s="32"/>
      <c r="AF277" s="32"/>
      <c r="AG277" s="17"/>
      <c r="AH277" s="27"/>
      <c r="AI277" s="27"/>
      <c r="AJ277" s="11"/>
      <c r="AK277" s="58" t="str">
        <f>HYPERLINK("http://drinc.ca.gov/DNN/Portals/0/SelfCert/c01f2dfc-6a7f-469e-bbfa-bf16468a48d8.pdf","Cert")</f>
        <v>Cert</v>
      </c>
      <c r="AL277" s="58" t="str">
        <f>HYPERLINK("http://drinc.ca.gov/DNN/Portals/0/SelfCert/f4487207-5812-4008-832d-9fa98840b15c.pdf","Analysis")</f>
        <v>Analysis</v>
      </c>
    </row>
    <row r="278" spans="1:38" s="19" customFormat="1" ht="14.4" customHeight="1" x14ac:dyDescent="0.3">
      <c r="A278" s="12" t="s">
        <v>182</v>
      </c>
      <c r="B278" s="68" t="s">
        <v>16</v>
      </c>
      <c r="C278" s="73">
        <v>18199</v>
      </c>
      <c r="D278" s="14">
        <v>6340</v>
      </c>
      <c r="E278" s="14">
        <v>7237</v>
      </c>
      <c r="F278" s="18">
        <v>0</v>
      </c>
      <c r="G278" s="68" t="s">
        <v>776</v>
      </c>
      <c r="H278" s="64">
        <v>0.16</v>
      </c>
      <c r="I278" s="64">
        <v>0.16</v>
      </c>
      <c r="J278" s="64">
        <v>0.21</v>
      </c>
      <c r="K278" s="71">
        <v>0.22475664681098362</v>
      </c>
      <c r="L278" s="65">
        <v>6563.8</v>
      </c>
      <c r="M278" s="65">
        <v>6563.8</v>
      </c>
      <c r="N278" s="13">
        <v>6573</v>
      </c>
      <c r="O278" s="13">
        <v>6107</v>
      </c>
      <c r="P278" s="30" t="s">
        <v>4</v>
      </c>
      <c r="Q278" s="13">
        <v>6573</v>
      </c>
      <c r="R278" s="13">
        <v>6107</v>
      </c>
      <c r="S278" s="23">
        <v>6340</v>
      </c>
      <c r="T278" s="41"/>
      <c r="U278" s="13">
        <v>7232</v>
      </c>
      <c r="V278" s="13">
        <v>7232</v>
      </c>
      <c r="W278" s="24">
        <v>7237</v>
      </c>
      <c r="X278" s="58" t="str">
        <f>HYPERLINK("http://drinc.ca.gov/DNN/Portals/0/SelfCert/860e67ed-22df-46bf-8df0-2f02c68773b9.xlsx","WS1")</f>
        <v>WS1</v>
      </c>
      <c r="Y278" s="10"/>
      <c r="Z278" s="26" t="s">
        <v>13</v>
      </c>
      <c r="AA278" s="13">
        <v>-897</v>
      </c>
      <c r="AB278" s="66">
        <v>0</v>
      </c>
      <c r="AC278" s="30" t="s">
        <v>14</v>
      </c>
      <c r="AD278" s="29"/>
      <c r="AE278" s="32"/>
      <c r="AF278" s="32"/>
      <c r="AG278" s="17"/>
      <c r="AH278" s="27"/>
      <c r="AI278" s="27"/>
      <c r="AJ278" s="11"/>
      <c r="AK278" s="58" t="str">
        <f>HYPERLINK("http://drinc.ca.gov/DNN/Portals/0/SelfCert/ae321dbd-1eef-41b2-ac7e-1f602401b3a3.pdf","Cert")</f>
        <v>Cert</v>
      </c>
      <c r="AL278" s="58" t="str">
        <f>HYPERLINK("http://drinc.ca.gov/DNN/Portals/0/SelfCert/58f5bf41-7074-41d4-b87d-d403933d2e5b.docx","Analysis")</f>
        <v>Analysis</v>
      </c>
    </row>
    <row r="279" spans="1:38" s="19" customFormat="1" ht="14.4" customHeight="1" x14ac:dyDescent="0.3">
      <c r="A279" s="12" t="s">
        <v>32</v>
      </c>
      <c r="B279" s="68" t="s">
        <v>11</v>
      </c>
      <c r="C279" s="73">
        <v>14070.083333333334</v>
      </c>
      <c r="D279" s="14">
        <v>3048.9</v>
      </c>
      <c r="E279" s="14">
        <v>3048.9</v>
      </c>
      <c r="F279" s="18">
        <v>0</v>
      </c>
      <c r="G279" s="68" t="s">
        <v>776</v>
      </c>
      <c r="H279" s="64">
        <v>0.32</v>
      </c>
      <c r="I279" s="64">
        <v>0.28000000000000003</v>
      </c>
      <c r="J279" s="64">
        <v>0.28999999999999998</v>
      </c>
      <c r="K279" s="71">
        <v>0.27355885880023423</v>
      </c>
      <c r="L279" s="65">
        <v>3137.8</v>
      </c>
      <c r="M279" s="65">
        <v>3137.8</v>
      </c>
      <c r="N279" s="13">
        <v>3137.8</v>
      </c>
      <c r="O279" s="13">
        <v>2960</v>
      </c>
      <c r="P279" s="30" t="s">
        <v>4</v>
      </c>
      <c r="Q279" s="13">
        <v>3137.8</v>
      </c>
      <c r="R279" s="13">
        <v>2960</v>
      </c>
      <c r="S279" s="23">
        <v>3048.9</v>
      </c>
      <c r="T279" s="41"/>
      <c r="U279" s="13">
        <v>3048.875</v>
      </c>
      <c r="V279" s="13">
        <v>3048.9</v>
      </c>
      <c r="W279" s="24">
        <v>3048.9</v>
      </c>
      <c r="X279" s="58" t="str">
        <f>HYPERLINK("http://www.drinc.ca.gov/DNN/Portals/0/SelfCert/95a32e93-a4aa-4144-a8df-dd21ec2590e5.xlsx","WS1")</f>
        <v>WS1</v>
      </c>
      <c r="Y279" s="10"/>
      <c r="Z279" s="26" t="s">
        <v>13</v>
      </c>
      <c r="AA279" s="13">
        <v>0</v>
      </c>
      <c r="AB279" s="15">
        <v>0</v>
      </c>
      <c r="AC279" s="30" t="s">
        <v>18</v>
      </c>
      <c r="AD279" s="29" t="s">
        <v>33</v>
      </c>
      <c r="AE279" s="32"/>
      <c r="AF279" s="32"/>
      <c r="AG279" s="17"/>
      <c r="AH279" s="27"/>
      <c r="AI279" s="27"/>
      <c r="AJ279" s="11"/>
      <c r="AK279" s="58" t="str">
        <f>HYPERLINK("http://www.drinc.ca.gov/DNN/Portals/0/SelfCert/7f567c7f-4617-4714-b66a-c3300e8ceb64.pdf","Cert")</f>
        <v>Cert</v>
      </c>
      <c r="AL279" s="58" t="str">
        <f>HYPERLINK("http://www.drinc.ca.gov/DNN/Portals/0/SelfCert/60989d30-5425-4320-be0d-060e70e5a585.xlsx","Analysis")</f>
        <v>Analysis</v>
      </c>
    </row>
    <row r="280" spans="1:38" s="19" customFormat="1" ht="14.4" customHeight="1" x14ac:dyDescent="0.3">
      <c r="A280" s="12" t="s">
        <v>556</v>
      </c>
      <c r="B280" s="68" t="s">
        <v>16</v>
      </c>
      <c r="C280" s="73">
        <v>71003</v>
      </c>
      <c r="D280" s="14">
        <v>7870.8</v>
      </c>
      <c r="E280" s="14">
        <v>7121.7</v>
      </c>
      <c r="F280" s="18">
        <v>0.1</v>
      </c>
      <c r="G280" s="68" t="s">
        <v>776</v>
      </c>
      <c r="H280" s="64">
        <v>0.16</v>
      </c>
      <c r="I280" s="64">
        <v>0.14000000000000001</v>
      </c>
      <c r="J280" s="64">
        <v>0.22</v>
      </c>
      <c r="K280" s="71">
        <v>0.21775645626361462</v>
      </c>
      <c r="L280" s="65">
        <v>8121.5</v>
      </c>
      <c r="M280" s="65">
        <v>8121.5</v>
      </c>
      <c r="N280" s="13">
        <v>8107.6</v>
      </c>
      <c r="O280" s="13">
        <v>7634.1</v>
      </c>
      <c r="P280" s="30" t="s">
        <v>4</v>
      </c>
      <c r="Q280" s="13">
        <v>8107.6</v>
      </c>
      <c r="R280" s="13">
        <v>7634.1</v>
      </c>
      <c r="S280" s="23">
        <v>7870.8</v>
      </c>
      <c r="T280" s="41"/>
      <c r="U280" s="13">
        <v>7732.01</v>
      </c>
      <c r="V280" s="13">
        <v>7121.7</v>
      </c>
      <c r="W280" s="24">
        <v>7121.7</v>
      </c>
      <c r="X280" s="58" t="str">
        <f>HYPERLINK("http://drinc.ca.gov/DNN/Portals/0/SelfCert/2471fd65-6e7b-4852-9bd4-8af9cb3df169.xlsx","WS1")</f>
        <v>WS1</v>
      </c>
      <c r="Y280" s="10"/>
      <c r="Z280" s="26" t="s">
        <v>13</v>
      </c>
      <c r="AA280" s="13">
        <v>749.1</v>
      </c>
      <c r="AB280" s="15">
        <v>0.1</v>
      </c>
      <c r="AC280" s="30" t="s">
        <v>18</v>
      </c>
      <c r="AD280" s="29" t="s">
        <v>557</v>
      </c>
      <c r="AE280" s="32"/>
      <c r="AF280" s="32"/>
      <c r="AG280" s="17"/>
      <c r="AH280" s="27"/>
      <c r="AI280" s="27"/>
      <c r="AJ280" s="11"/>
      <c r="AK280" s="58" t="str">
        <f>HYPERLINK("http://drinc.ca.gov/DNN/Portals/0/SelfCert/ba816bdf-0e0e-4918-bd56-a63068a47dd3.pdf","Cert")</f>
        <v>Cert</v>
      </c>
      <c r="AL280" s="58" t="str">
        <f>HYPERLINK("http://drinc.ca.gov/DNN/Portals/0/SelfCert/0c12c252-72b8-4aad-aa4c-1394189bde96.xlsx","Analysis")</f>
        <v>Analysis</v>
      </c>
    </row>
    <row r="281" spans="1:38" s="19" customFormat="1" ht="14.4" customHeight="1" x14ac:dyDescent="0.3">
      <c r="A281" s="12" t="s">
        <v>611</v>
      </c>
      <c r="B281" s="68" t="s">
        <v>16</v>
      </c>
      <c r="C281" s="73">
        <v>16144.916666666666</v>
      </c>
      <c r="D281" s="14">
        <v>2894</v>
      </c>
      <c r="E281" s="14">
        <v>2894</v>
      </c>
      <c r="F281" s="18">
        <v>0</v>
      </c>
      <c r="G281" s="68" t="s">
        <v>776</v>
      </c>
      <c r="H281" s="64">
        <v>0.32</v>
      </c>
      <c r="I281" s="64">
        <v>0.3</v>
      </c>
      <c r="J281" s="64">
        <v>0.3</v>
      </c>
      <c r="K281" s="71">
        <v>0.35171697693391679</v>
      </c>
      <c r="L281" s="65">
        <v>2963.3</v>
      </c>
      <c r="M281" s="65">
        <v>2963.3</v>
      </c>
      <c r="N281" s="13">
        <v>2964</v>
      </c>
      <c r="O281" s="13">
        <v>2824</v>
      </c>
      <c r="P281" s="30" t="s">
        <v>4</v>
      </c>
      <c r="Q281" s="13">
        <v>2964</v>
      </c>
      <c r="R281" s="13">
        <v>2824</v>
      </c>
      <c r="S281" s="23">
        <v>2894</v>
      </c>
      <c r="T281" s="41"/>
      <c r="U281" s="13">
        <v>2894</v>
      </c>
      <c r="V281" s="13">
        <v>2894</v>
      </c>
      <c r="W281" s="24">
        <v>2894</v>
      </c>
      <c r="X281" s="58" t="str">
        <f>HYPERLINK("http://drinc.ca.gov/DNN/Portals/0/SelfCert/4d0e2b88-3a86-41dc-aa68-9278fbda56ea.xlsx","WS1")</f>
        <v>WS1</v>
      </c>
      <c r="Y281" s="10" t="s">
        <v>612</v>
      </c>
      <c r="Z281" s="26" t="s">
        <v>13</v>
      </c>
      <c r="AA281" s="13">
        <v>0</v>
      </c>
      <c r="AB281" s="15">
        <v>0</v>
      </c>
      <c r="AC281" s="30" t="s">
        <v>18</v>
      </c>
      <c r="AD281" s="29" t="s">
        <v>613</v>
      </c>
      <c r="AE281" s="32"/>
      <c r="AF281" s="32"/>
      <c r="AG281" s="17"/>
      <c r="AH281" s="27"/>
      <c r="AI281" s="27"/>
      <c r="AJ281" s="11"/>
      <c r="AK281" s="58" t="str">
        <f>HYPERLINK("http://drinc.ca.gov/DNN/Portals/0/SelfCert/6170be1a-6610-4734-a6c4-f39f40edbaa5.pdf","Cert")</f>
        <v>Cert</v>
      </c>
      <c r="AL281" s="58" t="str">
        <f>HYPERLINK("http://drinc.ca.gov/DNN/Portals/0/SelfCert/9d6623e3-f799-4007-9577-fd437875f3bb.xlsx","Analysis")</f>
        <v>Analysis</v>
      </c>
    </row>
    <row r="282" spans="1:38" s="19" customFormat="1" ht="14.4" customHeight="1" x14ac:dyDescent="0.3">
      <c r="A282" s="12" t="s">
        <v>110</v>
      </c>
      <c r="B282" s="68" t="s">
        <v>16</v>
      </c>
      <c r="C282" s="73">
        <v>45000</v>
      </c>
      <c r="D282" s="14">
        <v>6370.7</v>
      </c>
      <c r="E282" s="14">
        <v>6371</v>
      </c>
      <c r="F282" s="18">
        <v>0</v>
      </c>
      <c r="G282" s="68" t="s">
        <v>776</v>
      </c>
      <c r="H282" s="64">
        <v>0.2</v>
      </c>
      <c r="I282" s="64">
        <v>0.18</v>
      </c>
      <c r="J282" s="64">
        <v>0.21</v>
      </c>
      <c r="K282" s="71">
        <v>0.20258103748247502</v>
      </c>
      <c r="L282" s="65">
        <v>6496.4</v>
      </c>
      <c r="M282" s="65">
        <v>6496.4</v>
      </c>
      <c r="N282" s="13">
        <v>6510.3</v>
      </c>
      <c r="O282" s="13">
        <v>6231</v>
      </c>
      <c r="P282" s="30" t="s">
        <v>4</v>
      </c>
      <c r="Q282" s="13">
        <v>6510.3</v>
      </c>
      <c r="R282" s="13">
        <v>6231</v>
      </c>
      <c r="S282" s="23">
        <v>6370.7</v>
      </c>
      <c r="T282" s="41"/>
      <c r="U282" s="13">
        <v>6371</v>
      </c>
      <c r="V282" s="13">
        <v>6371</v>
      </c>
      <c r="W282" s="24">
        <v>6371</v>
      </c>
      <c r="X282" s="58" t="str">
        <f>HYPERLINK("http://www.drinc.ca.gov/DNN/Portals/0/SelfCert/4efaad73-a47c-4ec3-ab11-8aba4a531ec6.xlsx","WS1")</f>
        <v>WS1</v>
      </c>
      <c r="Y282" s="10"/>
      <c r="Z282" s="26" t="s">
        <v>13</v>
      </c>
      <c r="AA282" s="13">
        <v>-0.3</v>
      </c>
      <c r="AB282" s="15">
        <v>0</v>
      </c>
      <c r="AC282" s="30" t="s">
        <v>18</v>
      </c>
      <c r="AD282" s="29" t="s">
        <v>111</v>
      </c>
      <c r="AE282" s="32"/>
      <c r="AF282" s="32"/>
      <c r="AG282" s="17"/>
      <c r="AH282" s="27"/>
      <c r="AI282" s="27"/>
      <c r="AJ282" s="11"/>
      <c r="AK282" s="58" t="str">
        <f>HYPERLINK("http://www.drinc.ca.gov/DNN/Portals/0/SelfCert/c5b8fc42-0494-4b4b-9715-caafc84a2c6e.pdf","Cert")</f>
        <v>Cert</v>
      </c>
      <c r="AL282" s="58" t="str">
        <f>HYPERLINK("http://www.drinc.ca.gov/DNN/Portals/0/SelfCert/4e45aae3-da7c-4213-87ba-008bbfea9ce5.xlsx","Analysis")</f>
        <v>Analysis</v>
      </c>
    </row>
    <row r="283" spans="1:38" s="19" customFormat="1" ht="14.4" customHeight="1" x14ac:dyDescent="0.3">
      <c r="A283" s="12" t="s">
        <v>399</v>
      </c>
      <c r="B283" s="68" t="s">
        <v>16</v>
      </c>
      <c r="C283" s="73">
        <v>332005</v>
      </c>
      <c r="D283" s="14">
        <v>39208.5</v>
      </c>
      <c r="E283" s="14">
        <v>39207</v>
      </c>
      <c r="F283" s="18">
        <v>0</v>
      </c>
      <c r="G283" s="68" t="s">
        <v>776</v>
      </c>
      <c r="H283" s="64">
        <v>0.12</v>
      </c>
      <c r="I283" s="64">
        <v>0.08</v>
      </c>
      <c r="J283" s="64">
        <v>0.17</v>
      </c>
      <c r="K283" s="71">
        <v>0.1636608420048804</v>
      </c>
      <c r="L283" s="65">
        <v>39432.199999999997</v>
      </c>
      <c r="M283" s="65">
        <v>39432.199999999997</v>
      </c>
      <c r="N283" s="13">
        <v>39432.199999999997</v>
      </c>
      <c r="O283" s="13">
        <v>38984.800000000003</v>
      </c>
      <c r="P283" s="30" t="s">
        <v>4</v>
      </c>
      <c r="Q283" s="13">
        <v>39432.199999999997</v>
      </c>
      <c r="R283" s="13">
        <v>38984.800000000003</v>
      </c>
      <c r="S283" s="23">
        <v>39208.5</v>
      </c>
      <c r="T283" s="41"/>
      <c r="U283" s="13">
        <v>39189</v>
      </c>
      <c r="V283" s="13">
        <v>39207</v>
      </c>
      <c r="W283" s="24">
        <v>39207</v>
      </c>
      <c r="X283" s="58" t="str">
        <f>HYPERLINK("https://drinc.ca.gov/DNN/Portals/0/SelfCert/93196f93-bb4a-4f26-88c1-2087a8e96a60.xlsx","WS1")</f>
        <v>WS1</v>
      </c>
      <c r="Y283" s="10"/>
      <c r="Z283" s="26" t="s">
        <v>13</v>
      </c>
      <c r="AA283" s="13">
        <v>1.5</v>
      </c>
      <c r="AB283" s="15">
        <v>0</v>
      </c>
      <c r="AC283" s="30" t="s">
        <v>18</v>
      </c>
      <c r="AD283" s="29" t="s">
        <v>400</v>
      </c>
      <c r="AE283" s="32"/>
      <c r="AF283" s="32"/>
      <c r="AG283" s="17"/>
      <c r="AH283" s="27"/>
      <c r="AI283" s="27"/>
      <c r="AJ283" s="11"/>
      <c r="AK283" s="58" t="str">
        <f>HYPERLINK("https://drinc.ca.gov/DNN/Portals/0/SelfCert/27fa7e27-1e15-4815-82f6-9afc7489b6ed.pdf","Cert")</f>
        <v>Cert</v>
      </c>
      <c r="AL283" s="58" t="str">
        <f>HYPERLINK("https://drinc.ca.gov/DNN/Portals/0/SelfCert/746a453e-9a3f-4262-9766-b0e304ecd328.xlsx","Analysis")</f>
        <v>Analysis</v>
      </c>
    </row>
    <row r="284" spans="1:38" s="19" customFormat="1" ht="14.4" customHeight="1" x14ac:dyDescent="0.3">
      <c r="A284" s="12" t="s">
        <v>263</v>
      </c>
      <c r="B284" s="68" t="s">
        <v>16</v>
      </c>
      <c r="C284" s="73">
        <v>39195.583333333336</v>
      </c>
      <c r="D284" s="14">
        <v>8713.7000000000007</v>
      </c>
      <c r="E284" s="14">
        <v>8708</v>
      </c>
      <c r="F284" s="18">
        <v>0</v>
      </c>
      <c r="G284" s="68" t="s">
        <v>776</v>
      </c>
      <c r="H284" s="64">
        <v>0.28000000000000003</v>
      </c>
      <c r="I284" s="64">
        <v>0.27</v>
      </c>
      <c r="J284" s="64">
        <v>0.22</v>
      </c>
      <c r="K284" s="71">
        <v>0.25076923076923074</v>
      </c>
      <c r="L284" s="65">
        <v>8550.7000000000007</v>
      </c>
      <c r="M284" s="65">
        <v>8550.7000000000007</v>
      </c>
      <c r="N284" s="13">
        <v>8550.7000000000007</v>
      </c>
      <c r="O284" s="13">
        <v>8876.7000000000007</v>
      </c>
      <c r="P284" s="30" t="s">
        <v>4</v>
      </c>
      <c r="Q284" s="13">
        <v>8550.7000000000007</v>
      </c>
      <c r="R284" s="13">
        <v>8876.7000000000007</v>
      </c>
      <c r="S284" s="23">
        <v>8713.7000000000007</v>
      </c>
      <c r="T284" s="41" t="s">
        <v>264</v>
      </c>
      <c r="U284" s="13">
        <v>8708</v>
      </c>
      <c r="V284" s="13">
        <v>8708</v>
      </c>
      <c r="W284" s="24">
        <v>8708</v>
      </c>
      <c r="X284" s="58" t="str">
        <f>HYPERLINK("http://drinc.ca.gov/DNN/Portals/0/SelfCert/4d6eb29f-22e7-45b0-8505-9eed914233fb.xlsx","WS1")</f>
        <v>WS1</v>
      </c>
      <c r="Y284" s="10" t="s">
        <v>265</v>
      </c>
      <c r="Z284" s="26" t="s">
        <v>13</v>
      </c>
      <c r="AA284" s="13">
        <v>5.7</v>
      </c>
      <c r="AB284" s="15">
        <v>0</v>
      </c>
      <c r="AC284" s="30" t="s">
        <v>18</v>
      </c>
      <c r="AD284" s="29" t="s">
        <v>266</v>
      </c>
      <c r="AE284" s="32"/>
      <c r="AF284" s="32"/>
      <c r="AG284" s="17"/>
      <c r="AH284" s="27"/>
      <c r="AI284" s="27"/>
      <c r="AJ284" s="11"/>
      <c r="AK284" s="58" t="str">
        <f>HYPERLINK("http://drinc.ca.gov/DNN/Portals/0/SelfCert/e2731093-938c-4566-9162-f49aa612664c.pdf","Cert")</f>
        <v>Cert</v>
      </c>
      <c r="AL284" s="58" t="str">
        <f>HYPERLINK("http://drinc.ca.gov/DNN/Portals/0/SelfCert/7578f2c9-16d2-48b1-8120-e70cbb300005.xlsx","Analysis")</f>
        <v>Analysis</v>
      </c>
    </row>
    <row r="285" spans="1:38" s="19" customFormat="1" ht="14.4" customHeight="1" x14ac:dyDescent="0.3">
      <c r="A285" s="12" t="s">
        <v>615</v>
      </c>
      <c r="B285" s="68" t="s">
        <v>16</v>
      </c>
      <c r="C285" s="73">
        <v>30611</v>
      </c>
      <c r="D285" s="14">
        <v>4097.3</v>
      </c>
      <c r="E285" s="14">
        <v>4165.5</v>
      </c>
      <c r="F285" s="18">
        <v>0</v>
      </c>
      <c r="G285" s="68" t="s">
        <v>776</v>
      </c>
      <c r="H285" s="64">
        <v>0.24</v>
      </c>
      <c r="I285" s="64">
        <v>0.22</v>
      </c>
      <c r="J285" s="64">
        <v>0.27</v>
      </c>
      <c r="K285" s="71">
        <v>0.23509174311926606</v>
      </c>
      <c r="L285" s="65">
        <v>4192.3999999999996</v>
      </c>
      <c r="M285" s="65">
        <v>4192.3999999999996</v>
      </c>
      <c r="N285" s="13">
        <v>1826211</v>
      </c>
      <c r="O285" s="13">
        <v>1743313</v>
      </c>
      <c r="P285" s="30" t="s">
        <v>9</v>
      </c>
      <c r="Q285" s="13">
        <v>4192.3999999999996</v>
      </c>
      <c r="R285" s="13">
        <v>4002.1</v>
      </c>
      <c r="S285" s="23">
        <v>4097.3</v>
      </c>
      <c r="T285" s="41"/>
      <c r="U285" s="13">
        <v>6765.5</v>
      </c>
      <c r="V285" s="13">
        <v>5465.5</v>
      </c>
      <c r="W285" s="24">
        <v>4165.5</v>
      </c>
      <c r="X285" s="58" t="str">
        <f>HYPERLINK("https://www.drinc.ca.gov/DNN/Portals/0/SelfCert/3d6c00c9-3c3d-4520-8a75-0571078078cc.xlsx","WS1")</f>
        <v>WS1</v>
      </c>
      <c r="Y285" s="10" t="s">
        <v>616</v>
      </c>
      <c r="Z285" s="26" t="s">
        <v>13</v>
      </c>
      <c r="AA285" s="13">
        <v>-68.2</v>
      </c>
      <c r="AB285" s="66">
        <v>0</v>
      </c>
      <c r="AC285" s="30" t="s">
        <v>18</v>
      </c>
      <c r="AD285" s="29" t="s">
        <v>617</v>
      </c>
      <c r="AE285" s="32"/>
      <c r="AF285" s="32"/>
      <c r="AG285" s="17"/>
      <c r="AH285" s="27"/>
      <c r="AI285" s="27"/>
      <c r="AJ285" s="11"/>
      <c r="AK285" s="58" t="str">
        <f>HYPERLINK("https://www.drinc.ca.gov/DNN/Portals/0/SelfCert/2ba2691f-11dd-4b3f-9fac-353f1c2f4434.pdf","Cert")</f>
        <v>Cert</v>
      </c>
      <c r="AL285" s="58" t="str">
        <f>HYPERLINK("https://www.drinc.ca.gov/DNN/Portals/0/SelfCert/a24e83d9-2ec7-488a-930c-b528ce8e056b.xlsx","Analysis")</f>
        <v>Analysis</v>
      </c>
    </row>
    <row r="286" spans="1:38" s="19" customFormat="1" ht="14.4" customHeight="1" x14ac:dyDescent="0.3">
      <c r="A286" s="12" t="s">
        <v>274</v>
      </c>
      <c r="B286" s="68" t="s">
        <v>40</v>
      </c>
      <c r="C286" s="73">
        <v>11579</v>
      </c>
      <c r="D286" s="14">
        <v>2175</v>
      </c>
      <c r="E286" s="14">
        <v>2175</v>
      </c>
      <c r="F286" s="18">
        <v>0</v>
      </c>
      <c r="G286" s="68" t="s">
        <v>776</v>
      </c>
      <c r="H286" s="64">
        <v>0.28000000000000003</v>
      </c>
      <c r="I286" s="64">
        <v>0.28000000000000003</v>
      </c>
      <c r="J286" s="64">
        <v>0.3</v>
      </c>
      <c r="K286" s="72">
        <v>-4.1664873240649047E-2</v>
      </c>
      <c r="L286" s="65">
        <v>2294.9</v>
      </c>
      <c r="M286" s="65">
        <v>2294.9</v>
      </c>
      <c r="N286" s="13">
        <v>2294.8000000000002</v>
      </c>
      <c r="O286" s="13">
        <v>2055.1999999999998</v>
      </c>
      <c r="P286" s="30" t="s">
        <v>4</v>
      </c>
      <c r="Q286" s="13">
        <v>2294.8000000000002</v>
      </c>
      <c r="R286" s="13">
        <v>2055.1999999999998</v>
      </c>
      <c r="S286" s="23">
        <v>2175</v>
      </c>
      <c r="T286" s="41"/>
      <c r="U286" s="13">
        <v>2175</v>
      </c>
      <c r="V286" s="13">
        <v>2175</v>
      </c>
      <c r="W286" s="24">
        <v>2175</v>
      </c>
      <c r="X286" s="58" t="str">
        <f>HYPERLINK("http://drinc.ca.gov/DNN/Portals/0/SelfCert/e12a90fd-b0c8-4c81-823d-eb6ac3b944ac.xlsx","WS1")</f>
        <v>WS1</v>
      </c>
      <c r="Y286" s="10"/>
      <c r="Z286" s="26" t="s">
        <v>13</v>
      </c>
      <c r="AA286" s="13">
        <v>0</v>
      </c>
      <c r="AB286" s="15">
        <v>0</v>
      </c>
      <c r="AC286" s="30" t="s">
        <v>14</v>
      </c>
      <c r="AD286" s="29"/>
      <c r="AE286" s="32"/>
      <c r="AF286" s="32"/>
      <c r="AG286" s="17"/>
      <c r="AH286" s="27"/>
      <c r="AI286" s="27"/>
      <c r="AJ286" s="11"/>
      <c r="AK286" s="58" t="str">
        <f>HYPERLINK("http://drinc.ca.gov/DNN/Portals/0/SelfCert/53537cf3-80d8-4a4b-953a-d05b19061b84.pdf","Cert")</f>
        <v>Cert</v>
      </c>
      <c r="AL286" s="58" t="str">
        <f>HYPERLINK("http://drinc.ca.gov/DNN/Portals/0/SelfCert/cee92e0a-7b1d-4188-960b-41cc372b5316.xlsx","Analysis")</f>
        <v>Analysis</v>
      </c>
    </row>
    <row r="287" spans="1:38" s="19" customFormat="1" ht="14.4" customHeight="1" x14ac:dyDescent="0.3">
      <c r="A287" s="12" t="s">
        <v>499</v>
      </c>
      <c r="B287" s="68" t="s">
        <v>16</v>
      </c>
      <c r="C287" s="73">
        <v>191372.5</v>
      </c>
      <c r="D287" s="14">
        <v>20880</v>
      </c>
      <c r="E287" s="14">
        <v>27895</v>
      </c>
      <c r="F287" s="18">
        <v>0</v>
      </c>
      <c r="G287" s="68" t="s">
        <v>830</v>
      </c>
      <c r="H287" s="64">
        <v>0.12</v>
      </c>
      <c r="I287" s="64">
        <v>0.08</v>
      </c>
      <c r="J287" s="64">
        <v>0.21</v>
      </c>
      <c r="K287" s="71">
        <v>0.22536993769470404</v>
      </c>
      <c r="L287" s="65">
        <v>21288.3</v>
      </c>
      <c r="M287" s="65">
        <v>21288.3</v>
      </c>
      <c r="N287" s="13">
        <v>21288.400000000001</v>
      </c>
      <c r="O287" s="13">
        <v>20471.599999999999</v>
      </c>
      <c r="P287" s="30" t="s">
        <v>4</v>
      </c>
      <c r="Q287" s="13">
        <v>21288.400000000001</v>
      </c>
      <c r="R287" s="13">
        <v>20471.599999999999</v>
      </c>
      <c r="S287" s="35">
        <v>20880</v>
      </c>
      <c r="T287" s="41"/>
      <c r="U287" s="13">
        <v>26904</v>
      </c>
      <c r="V287" s="13">
        <v>27670</v>
      </c>
      <c r="W287" s="24">
        <v>27895</v>
      </c>
      <c r="X287" s="58" t="str">
        <f>HYPERLINK("http://www.drinc.ca.gov/DNN/Portals/0/SelfCert/592e35bf-de23-4da7-a2e4-92740f2fc9bf.xlsx","WS1")</f>
        <v>WS1</v>
      </c>
      <c r="Y287" s="10" t="s">
        <v>500</v>
      </c>
      <c r="Z287" s="52" t="s">
        <v>31</v>
      </c>
      <c r="AA287" s="32">
        <v>-7015</v>
      </c>
      <c r="AB287" s="33">
        <v>0</v>
      </c>
      <c r="AC287" s="16"/>
      <c r="AD287" s="11"/>
      <c r="AE287" s="65">
        <v>557738</v>
      </c>
      <c r="AF287" s="65">
        <v>581662</v>
      </c>
      <c r="AG287" s="15">
        <v>0</v>
      </c>
      <c r="AH287" s="38" t="s">
        <v>777</v>
      </c>
      <c r="AI287" s="37" t="str">
        <f>HYPERLINK("http://www.drinc.ca.gov/DNN/Portals/0/SelfCert/c662b305-4b0f-403c-9b6c-183c1d88488f.pdf","Legal")</f>
        <v>Legal</v>
      </c>
      <c r="AJ287" s="10"/>
      <c r="AK287" s="58" t="str">
        <f>HYPERLINK("http://www.drinc.ca.gov/DNN/Portals/0/SelfCert/788ffa10-e8ee-493f-bdd4-ba46fddd708c.pdf","Cert")</f>
        <v>Cert</v>
      </c>
      <c r="AL287" s="58" t="str">
        <f>HYPERLINK("http://www.drinc.ca.gov/DNN/Portals/0/SelfCert/8b5e75d4-6580-4642-a49e-70c25056e45e.docx","Analysis")</f>
        <v>Analysis</v>
      </c>
    </row>
    <row r="288" spans="1:38" s="19" customFormat="1" ht="14.4" customHeight="1" x14ac:dyDescent="0.3">
      <c r="A288" s="12" t="s">
        <v>598</v>
      </c>
      <c r="B288" s="68" t="s">
        <v>16</v>
      </c>
      <c r="C288" s="73">
        <v>178500</v>
      </c>
      <c r="D288" s="14">
        <v>28649.200000000001</v>
      </c>
      <c r="E288" s="14">
        <v>29359.8</v>
      </c>
      <c r="F288" s="18">
        <v>0</v>
      </c>
      <c r="G288" s="68" t="s">
        <v>776</v>
      </c>
      <c r="H288" s="64">
        <v>0.24</v>
      </c>
      <c r="I288" s="64">
        <v>0.22</v>
      </c>
      <c r="J288" s="64">
        <v>0.24</v>
      </c>
      <c r="K288" s="71">
        <v>0.2513637731790711</v>
      </c>
      <c r="L288" s="65">
        <v>29195</v>
      </c>
      <c r="M288" s="65">
        <v>29195</v>
      </c>
      <c r="N288" s="13">
        <v>29195</v>
      </c>
      <c r="O288" s="13">
        <v>28103.3</v>
      </c>
      <c r="P288" s="30" t="s">
        <v>4</v>
      </c>
      <c r="Q288" s="13">
        <v>29195</v>
      </c>
      <c r="R288" s="13">
        <v>28103.3</v>
      </c>
      <c r="S288" s="23">
        <v>28649.200000000001</v>
      </c>
      <c r="T288" s="41"/>
      <c r="U288" s="13">
        <v>29299.8</v>
      </c>
      <c r="V288" s="13">
        <v>28831.8</v>
      </c>
      <c r="W288" s="24">
        <v>29359.8</v>
      </c>
      <c r="X288" s="58" t="str">
        <f>HYPERLINK("https://drinc.ca.gov/DNN/Portals/0/SelfCert/d2e17e4d-57e0-4c8e-b4af-f2e0f8c50b54.xlsx","WS1")</f>
        <v>WS1</v>
      </c>
      <c r="Y288" s="10"/>
      <c r="Z288" s="26" t="s">
        <v>13</v>
      </c>
      <c r="AA288" s="13">
        <v>-710.6</v>
      </c>
      <c r="AB288" s="66">
        <v>0</v>
      </c>
      <c r="AC288" s="30" t="s">
        <v>18</v>
      </c>
      <c r="AD288" s="29" t="s">
        <v>597</v>
      </c>
      <c r="AE288" s="32"/>
      <c r="AF288" s="32"/>
      <c r="AG288" s="17"/>
      <c r="AH288" s="27"/>
      <c r="AI288" s="27"/>
      <c r="AJ288" s="11"/>
      <c r="AK288" s="58" t="str">
        <f>HYPERLINK("https://drinc.ca.gov/DNN/Portals/0/SelfCert/d4924303-8653-4194-8b76-bd37b579ebcc.pdf","Cert")</f>
        <v>Cert</v>
      </c>
      <c r="AL288" s="58" t="str">
        <f>HYPERLINK("https://drinc.ca.gov/DNN/Portals/0/SelfCert/cb3a8626-0a9b-46d2-9d49-1994a6190f8f.xlsx","Analysis")</f>
        <v>Analysis</v>
      </c>
    </row>
    <row r="289" spans="1:38" s="19" customFormat="1" ht="14.4" customHeight="1" x14ac:dyDescent="0.3">
      <c r="A289" s="12" t="s">
        <v>701</v>
      </c>
      <c r="B289" s="68" t="s">
        <v>58</v>
      </c>
      <c r="C289" s="73">
        <v>16075</v>
      </c>
      <c r="D289" s="14">
        <v>2983.5</v>
      </c>
      <c r="E289" s="14">
        <v>20207</v>
      </c>
      <c r="F289" s="18">
        <v>0</v>
      </c>
      <c r="G289" s="69" t="s">
        <v>831</v>
      </c>
      <c r="H289" s="64">
        <v>0.2</v>
      </c>
      <c r="I289" s="64">
        <v>0.2</v>
      </c>
      <c r="J289" s="64">
        <v>0.26</v>
      </c>
      <c r="K289" s="71" t="s">
        <v>822</v>
      </c>
      <c r="L289" s="65">
        <v>2388.8000000000002</v>
      </c>
      <c r="M289" s="65">
        <v>2388.8000000000002</v>
      </c>
      <c r="N289" s="13">
        <v>3316</v>
      </c>
      <c r="O289" s="13">
        <v>2651</v>
      </c>
      <c r="P289" s="30" t="s">
        <v>4</v>
      </c>
      <c r="Q289" s="13">
        <v>3316</v>
      </c>
      <c r="R289" s="13">
        <v>2651</v>
      </c>
      <c r="S289" s="23">
        <v>2983.5</v>
      </c>
      <c r="T289" s="41"/>
      <c r="U289" s="13">
        <v>20207</v>
      </c>
      <c r="V289" s="13">
        <v>20207</v>
      </c>
      <c r="W289" s="24">
        <v>20207</v>
      </c>
      <c r="X289" s="58" t="str">
        <f>HYPERLINK("http://drinc.ca.gov/DNN/Portals/0/SelfCert/b0100222-eb47-45a6-b61e-0f19203a5ae3.xlsx","WS1")</f>
        <v>WS1</v>
      </c>
      <c r="Y289" s="10" t="s">
        <v>702</v>
      </c>
      <c r="Z289" s="26" t="s">
        <v>13</v>
      </c>
      <c r="AA289" s="13">
        <v>-17223.5</v>
      </c>
      <c r="AB289" s="66">
        <v>0</v>
      </c>
      <c r="AC289" s="30" t="s">
        <v>14</v>
      </c>
      <c r="AD289" s="29"/>
      <c r="AE289" s="32"/>
      <c r="AF289" s="32"/>
      <c r="AG289" s="17"/>
      <c r="AH289" s="27"/>
      <c r="AI289" s="27"/>
      <c r="AJ289" s="11"/>
      <c r="AK289" s="58" t="str">
        <f>HYPERLINK("http://drinc.ca.gov/DNN/Portals/0/SelfCert/2410773d-2e22-475f-98bd-c2e0d5b380bb.pdf","Cert")</f>
        <v>Cert</v>
      </c>
      <c r="AL289" s="56" t="str">
        <f>HYPERLINK("http://drinc.ca.gov/DNN/Portals/0/SelfCert/1556cf56-b5a9-4646-ad57-6d0048ec5a32.pdf","Analysis")</f>
        <v>Analysis</v>
      </c>
    </row>
    <row r="290" spans="1:38" s="19" customFormat="1" ht="14.4" customHeight="1" x14ac:dyDescent="0.3">
      <c r="A290" s="12" t="s">
        <v>108</v>
      </c>
      <c r="B290" s="68" t="s">
        <v>16</v>
      </c>
      <c r="C290" s="73">
        <v>57639</v>
      </c>
      <c r="D290" s="14">
        <v>16933.2</v>
      </c>
      <c r="E290" s="14">
        <v>16933.2</v>
      </c>
      <c r="F290" s="18">
        <v>0</v>
      </c>
      <c r="G290" s="68" t="s">
        <v>776</v>
      </c>
      <c r="H290" s="64">
        <v>0.36</v>
      </c>
      <c r="I290" s="64">
        <v>0.34</v>
      </c>
      <c r="J290" s="64">
        <v>0.28000000000000003</v>
      </c>
      <c r="K290" s="71">
        <v>0.27283441367118444</v>
      </c>
      <c r="L290" s="65">
        <v>17190</v>
      </c>
      <c r="M290" s="65">
        <v>17190</v>
      </c>
      <c r="N290" s="13">
        <v>17191.8</v>
      </c>
      <c r="O290" s="13">
        <v>16674.5</v>
      </c>
      <c r="P290" s="30" t="s">
        <v>4</v>
      </c>
      <c r="Q290" s="13">
        <v>17191.8</v>
      </c>
      <c r="R290" s="13">
        <v>16674.5</v>
      </c>
      <c r="S290" s="23">
        <v>16933.2</v>
      </c>
      <c r="T290" s="41"/>
      <c r="U290" s="13">
        <v>16933.154999999999</v>
      </c>
      <c r="V290" s="13">
        <v>16933.2</v>
      </c>
      <c r="W290" s="24">
        <v>16933.2</v>
      </c>
      <c r="X290" s="58" t="str">
        <f>HYPERLINK("http://drinc.ca.gov/DNN/Portals/0/SelfCert/a2cfa7f9-ba62-4e7b-95f0-580caef2b747.xlsx","WS1")</f>
        <v>WS1</v>
      </c>
      <c r="Y290" s="10"/>
      <c r="Z290" s="26" t="s">
        <v>13</v>
      </c>
      <c r="AA290" s="13">
        <v>0</v>
      </c>
      <c r="AB290" s="15">
        <v>0</v>
      </c>
      <c r="AC290" s="30" t="s">
        <v>18</v>
      </c>
      <c r="AD290" s="29" t="s">
        <v>109</v>
      </c>
      <c r="AE290" s="32">
        <v>0</v>
      </c>
      <c r="AF290" s="32">
        <v>0</v>
      </c>
      <c r="AG290" s="17">
        <v>0</v>
      </c>
      <c r="AH290" s="27"/>
      <c r="AI290" s="27"/>
      <c r="AJ290" s="11" t="s">
        <v>68</v>
      </c>
      <c r="AK290" s="58" t="str">
        <f>HYPERLINK("http://drinc.ca.gov/DNN/Portals/0/SelfCert/6f632071-9f94-447d-9d36-d0193f0bf291.pdf","Cert")</f>
        <v>Cert</v>
      </c>
      <c r="AL290" s="58" t="str">
        <f>HYPERLINK("http://drinc.ca.gov/DNN/Portals/0/SelfCert/cef79331-492c-4f36-80e7-a1d52d5eb22d.docx","Analysis")</f>
        <v>Analysis</v>
      </c>
    </row>
    <row r="291" spans="1:38" s="19" customFormat="1" ht="14.4" customHeight="1" x14ac:dyDescent="0.3">
      <c r="A291" s="12" t="s">
        <v>596</v>
      </c>
      <c r="B291" s="68" t="s">
        <v>16</v>
      </c>
      <c r="C291" s="73">
        <v>115000</v>
      </c>
      <c r="D291" s="14">
        <v>22346.9</v>
      </c>
      <c r="E291" s="14">
        <v>25062</v>
      </c>
      <c r="F291" s="18">
        <v>0</v>
      </c>
      <c r="G291" s="68" t="s">
        <v>776</v>
      </c>
      <c r="H291" s="64">
        <v>0.28000000000000003</v>
      </c>
      <c r="I291" s="64">
        <v>0.28000000000000003</v>
      </c>
      <c r="J291" s="64">
        <v>0.23</v>
      </c>
      <c r="K291" s="71">
        <v>0.22288741627666142</v>
      </c>
      <c r="L291" s="65">
        <v>22821.5</v>
      </c>
      <c r="M291" s="65">
        <v>22821.5</v>
      </c>
      <c r="N291" s="13">
        <v>22794.5</v>
      </c>
      <c r="O291" s="13">
        <v>21899.200000000001</v>
      </c>
      <c r="P291" s="30" t="s">
        <v>4</v>
      </c>
      <c r="Q291" s="13">
        <v>22794.5</v>
      </c>
      <c r="R291" s="13">
        <v>21899.200000000001</v>
      </c>
      <c r="S291" s="23">
        <v>22346.9</v>
      </c>
      <c r="T291" s="41"/>
      <c r="U291" s="13">
        <v>25304</v>
      </c>
      <c r="V291" s="13">
        <v>25966</v>
      </c>
      <c r="W291" s="24">
        <v>25062</v>
      </c>
      <c r="X291" s="58" t="str">
        <f>HYPERLINK("http://drinc.ca.gov/DNN/Portals/0/SelfCert/9dcafe98-e45b-4215-8ece-476445acda6c.xlsx","WS1")</f>
        <v>WS1</v>
      </c>
      <c r="Y291" s="10"/>
      <c r="Z291" s="26" t="s">
        <v>13</v>
      </c>
      <c r="AA291" s="13">
        <v>-2715.2</v>
      </c>
      <c r="AB291" s="66">
        <v>0</v>
      </c>
      <c r="AC291" s="30" t="s">
        <v>18</v>
      </c>
      <c r="AD291" s="29" t="s">
        <v>597</v>
      </c>
      <c r="AE291" s="32"/>
      <c r="AF291" s="32"/>
      <c r="AG291" s="17"/>
      <c r="AH291" s="27"/>
      <c r="AI291" s="27"/>
      <c r="AJ291" s="11"/>
      <c r="AK291" s="58" t="str">
        <f>HYPERLINK("http://drinc.ca.gov/DNN/Portals/0/SelfCert/20eeefed-8b26-4c2f-8536-cbeda8400102.pdf","Cert")</f>
        <v>Cert</v>
      </c>
      <c r="AL291" s="58" t="str">
        <f>HYPERLINK("http://drinc.ca.gov/DNN/Portals/0/SelfCert/5bf18478-ba14-4668-bdea-2afd71d1a736.xlsx","Analysis")</f>
        <v>Analysis</v>
      </c>
    </row>
    <row r="292" spans="1:38" s="19" customFormat="1" ht="14.4" customHeight="1" x14ac:dyDescent="0.3">
      <c r="A292" s="12" t="s">
        <v>289</v>
      </c>
      <c r="B292" s="68" t="s">
        <v>16</v>
      </c>
      <c r="C292" s="73">
        <v>47978</v>
      </c>
      <c r="D292" s="14">
        <v>5661.7</v>
      </c>
      <c r="E292" s="14">
        <v>9557</v>
      </c>
      <c r="F292" s="18">
        <v>0</v>
      </c>
      <c r="G292" s="68" t="s">
        <v>776</v>
      </c>
      <c r="H292" s="64">
        <v>0.16</v>
      </c>
      <c r="I292" s="64">
        <v>0.09</v>
      </c>
      <c r="J292" s="64">
        <v>0.16</v>
      </c>
      <c r="K292" s="71">
        <v>0.17043478260869571</v>
      </c>
      <c r="L292" s="65">
        <v>5726.5</v>
      </c>
      <c r="M292" s="65">
        <v>5726.5</v>
      </c>
      <c r="N292" s="13">
        <v>5726.4</v>
      </c>
      <c r="O292" s="13">
        <v>5597</v>
      </c>
      <c r="P292" s="30" t="s">
        <v>4</v>
      </c>
      <c r="Q292" s="13">
        <v>5726.4</v>
      </c>
      <c r="R292" s="13">
        <v>5597</v>
      </c>
      <c r="S292" s="23">
        <v>5661.7</v>
      </c>
      <c r="T292" s="41"/>
      <c r="U292" s="13">
        <v>9557</v>
      </c>
      <c r="V292" s="13">
        <v>9557</v>
      </c>
      <c r="W292" s="24">
        <v>9557</v>
      </c>
      <c r="X292" s="58" t="str">
        <f>HYPERLINK("http://drinc.ca.gov/DNN/Portals/0/SelfCert/1bfb14f1-ac26-40dd-b366-ea0ae6dd6cfd.xlsx","WS1")</f>
        <v>WS1</v>
      </c>
      <c r="Y292" s="10"/>
      <c r="Z292" s="26" t="s">
        <v>13</v>
      </c>
      <c r="AA292" s="13">
        <v>-3895.3</v>
      </c>
      <c r="AB292" s="66">
        <v>0</v>
      </c>
      <c r="AC292" s="30" t="s">
        <v>14</v>
      </c>
      <c r="AD292" s="29" t="s">
        <v>21</v>
      </c>
      <c r="AE292" s="32"/>
      <c r="AF292" s="32"/>
      <c r="AG292" s="17"/>
      <c r="AH292" s="27"/>
      <c r="AI292" s="27"/>
      <c r="AJ292" s="11"/>
      <c r="AK292" s="58" t="str">
        <f>HYPERLINK("http://drinc.ca.gov/DNN/Portals/0/SelfCert/ff1324fd-8cbd-40ad-b8d7-51c94fad8a73.pdf","Cert")</f>
        <v>Cert</v>
      </c>
      <c r="AL292" s="58" t="str">
        <f>HYPERLINK("http://drinc.ca.gov/DNN/Portals/0/SelfCert/498be846-aeb4-459f-99d1-d04f3b5b150f.xlsx","Analysis")</f>
        <v>Analysis</v>
      </c>
    </row>
    <row r="293" spans="1:38" s="19" customFormat="1" ht="14.4" customHeight="1" x14ac:dyDescent="0.3">
      <c r="A293" s="12" t="s">
        <v>562</v>
      </c>
      <c r="B293" s="68" t="s">
        <v>16</v>
      </c>
      <c r="C293" s="73">
        <v>37160</v>
      </c>
      <c r="D293" s="14">
        <v>11328.4</v>
      </c>
      <c r="E293" s="14">
        <v>12338</v>
      </c>
      <c r="F293" s="18">
        <v>0</v>
      </c>
      <c r="G293" s="68" t="s">
        <v>776</v>
      </c>
      <c r="H293" s="64">
        <v>0.32</v>
      </c>
      <c r="I293" s="64">
        <v>0.3</v>
      </c>
      <c r="J293" s="64">
        <v>0.36</v>
      </c>
      <c r="K293" s="71">
        <v>0.32874882112543236</v>
      </c>
      <c r="L293" s="65">
        <v>11604.6</v>
      </c>
      <c r="M293" s="65">
        <v>11604.6</v>
      </c>
      <c r="N293" s="13">
        <v>11604.6</v>
      </c>
      <c r="O293" s="13">
        <v>11052.1</v>
      </c>
      <c r="P293" s="30" t="s">
        <v>4</v>
      </c>
      <c r="Q293" s="13">
        <v>11604.6</v>
      </c>
      <c r="R293" s="13">
        <v>11052.1</v>
      </c>
      <c r="S293" s="23">
        <v>11328.4</v>
      </c>
      <c r="T293" s="41"/>
      <c r="U293" s="13">
        <v>11508</v>
      </c>
      <c r="V293" s="13">
        <v>11945</v>
      </c>
      <c r="W293" s="24">
        <v>12338</v>
      </c>
      <c r="X293" s="58" t="str">
        <f>HYPERLINK("http://drinc.ca.gov/DNN/Portals/0/SelfCert/ab2bcd28-98c7-41c8-a407-4887cef6ed86.xlsx","WS1")</f>
        <v>WS1</v>
      </c>
      <c r="Y293" s="10"/>
      <c r="Z293" s="26" t="s">
        <v>13</v>
      </c>
      <c r="AA293" s="13">
        <v>-1009.7</v>
      </c>
      <c r="AB293" s="66">
        <v>0</v>
      </c>
      <c r="AC293" s="30" t="s">
        <v>14</v>
      </c>
      <c r="AD293" s="29" t="s">
        <v>21</v>
      </c>
      <c r="AE293" s="32"/>
      <c r="AF293" s="32"/>
      <c r="AG293" s="17"/>
      <c r="AH293" s="27"/>
      <c r="AI293" s="27"/>
      <c r="AJ293" s="11"/>
      <c r="AK293" s="58" t="str">
        <f>HYPERLINK("http://drinc.ca.gov/DNN/Portals/0/SelfCert/4c20227d-54f2-46e6-974d-6db08c751076.pdf","Cert")</f>
        <v>Cert</v>
      </c>
      <c r="AL293" s="58" t="str">
        <f>HYPERLINK("http://drinc.ca.gov/DNN/Portals/0/SelfCert/0f792faa-7530-44df-90ec-4e304f80cbf6.xlsx","Analysis")</f>
        <v>Analysis</v>
      </c>
    </row>
    <row r="294" spans="1:38" s="19" customFormat="1" ht="14.4" customHeight="1" x14ac:dyDescent="0.3">
      <c r="A294" s="12" t="s">
        <v>20</v>
      </c>
      <c r="B294" s="68" t="s">
        <v>16</v>
      </c>
      <c r="C294" s="73">
        <v>57934</v>
      </c>
      <c r="D294" s="14">
        <v>5106.5</v>
      </c>
      <c r="E294" s="14">
        <v>9664</v>
      </c>
      <c r="F294" s="18">
        <v>0</v>
      </c>
      <c r="G294" s="68" t="s">
        <v>776</v>
      </c>
      <c r="H294" s="64">
        <v>0.08</v>
      </c>
      <c r="I294" s="64">
        <v>0.08</v>
      </c>
      <c r="J294" s="64">
        <v>0.13</v>
      </c>
      <c r="K294" s="71">
        <v>0.13993174061433444</v>
      </c>
      <c r="L294" s="65">
        <v>5232.5</v>
      </c>
      <c r="M294" s="65">
        <v>5232.5</v>
      </c>
      <c r="N294" s="13">
        <v>5232.3999999999996</v>
      </c>
      <c r="O294" s="13">
        <v>4980.6000000000004</v>
      </c>
      <c r="P294" s="30" t="s">
        <v>4</v>
      </c>
      <c r="Q294" s="13">
        <v>5232.3999999999996</v>
      </c>
      <c r="R294" s="13">
        <v>4980.6000000000004</v>
      </c>
      <c r="S294" s="34">
        <v>5106.5</v>
      </c>
      <c r="T294" s="41"/>
      <c r="U294" s="13">
        <v>9664</v>
      </c>
      <c r="V294" s="13">
        <v>9664</v>
      </c>
      <c r="W294" s="24">
        <v>9664</v>
      </c>
      <c r="X294" s="58" t="str">
        <f>HYPERLINK("http://drinc.ca.gov/DNN/Portals/0/SelfCert/e78df180-b337-4960-9d03-977ebb00c0d6.xlsx","WS1")</f>
        <v>WS1</v>
      </c>
      <c r="Y294" s="10"/>
      <c r="Z294" s="26" t="s">
        <v>13</v>
      </c>
      <c r="AA294" s="31">
        <v>-4557.5</v>
      </c>
      <c r="AB294" s="66">
        <v>0</v>
      </c>
      <c r="AC294" s="30" t="s">
        <v>14</v>
      </c>
      <c r="AD294" s="29" t="s">
        <v>21</v>
      </c>
      <c r="AE294" s="32"/>
      <c r="AF294" s="32"/>
      <c r="AG294" s="17"/>
      <c r="AH294" s="36"/>
      <c r="AI294" s="36"/>
      <c r="AJ294" s="11"/>
      <c r="AK294" s="58" t="str">
        <f>HYPERLINK("http://drinc.ca.gov/DNN/Portals/0/SelfCert/ceefe9b6-68c2-462e-b28e-dd4cf21f4b50.pdf","Cert")</f>
        <v>Cert</v>
      </c>
      <c r="AL294" s="58" t="str">
        <f>HYPERLINK("http://drinc.ca.gov/DNN/Portals/0/SelfCert/335a9097-407f-42e2-81ff-9f5c46db472f.xlsx","Analysis")</f>
        <v>Analysis</v>
      </c>
    </row>
    <row r="295" spans="1:38" s="19" customFormat="1" ht="14.4" customHeight="1" x14ac:dyDescent="0.3">
      <c r="A295" s="12" t="s">
        <v>300</v>
      </c>
      <c r="B295" s="68" t="s">
        <v>16</v>
      </c>
      <c r="C295" s="73">
        <v>65492</v>
      </c>
      <c r="D295" s="14">
        <v>5087.6000000000004</v>
      </c>
      <c r="E295" s="14">
        <v>8421</v>
      </c>
      <c r="F295" s="18">
        <v>0</v>
      </c>
      <c r="G295" s="68" t="s">
        <v>776</v>
      </c>
      <c r="H295" s="64">
        <v>0.08</v>
      </c>
      <c r="I295" s="64">
        <v>0.08</v>
      </c>
      <c r="J295" s="64">
        <v>0.1</v>
      </c>
      <c r="K295" s="71">
        <v>8.7275149900066684E-2</v>
      </c>
      <c r="L295" s="65">
        <v>5124.1000000000004</v>
      </c>
      <c r="M295" s="65">
        <v>5124.1000000000004</v>
      </c>
      <c r="N295" s="13">
        <v>5124.2</v>
      </c>
      <c r="O295" s="13">
        <v>5051</v>
      </c>
      <c r="P295" s="30" t="s">
        <v>4</v>
      </c>
      <c r="Q295" s="13">
        <v>5124.2</v>
      </c>
      <c r="R295" s="13">
        <v>5051</v>
      </c>
      <c r="S295" s="23">
        <v>5087.6000000000004</v>
      </c>
      <c r="T295" s="41"/>
      <c r="U295" s="13">
        <v>8419</v>
      </c>
      <c r="V295" s="13">
        <v>8420</v>
      </c>
      <c r="W295" s="24">
        <v>8421</v>
      </c>
      <c r="X295" s="58" t="str">
        <f>HYPERLINK("http://drinc.ca.gov/DNN/Portals/0/SelfCert/32b6e1f2-0d1f-4739-8b28-7867e741288e.xlsx","WS1")</f>
        <v>WS1</v>
      </c>
      <c r="Y295" s="10"/>
      <c r="Z295" s="26" t="s">
        <v>13</v>
      </c>
      <c r="AA295" s="13">
        <v>-3333.4</v>
      </c>
      <c r="AB295" s="66">
        <v>0</v>
      </c>
      <c r="AC295" s="30" t="s">
        <v>14</v>
      </c>
      <c r="AD295" s="29" t="s">
        <v>21</v>
      </c>
      <c r="AE295" s="32"/>
      <c r="AF295" s="32"/>
      <c r="AG295" s="17"/>
      <c r="AH295" s="27"/>
      <c r="AI295" s="27"/>
      <c r="AJ295" s="11"/>
      <c r="AK295" s="58" t="str">
        <f>HYPERLINK("http://drinc.ca.gov/DNN/Portals/0/SelfCert/239c5210-b310-45e2-b9c0-94170c426c4a.pdf","Cert")</f>
        <v>Cert</v>
      </c>
      <c r="AL295" s="58" t="str">
        <f>HYPERLINK("http://drinc.ca.gov/DNN/Portals/0/SelfCert/38ad5212-0369-4bcd-8583-31cfc7e2887f.xlsx","Analysis")</f>
        <v>Analysis</v>
      </c>
    </row>
    <row r="296" spans="1:38" s="19" customFormat="1" ht="14.4" customHeight="1" x14ac:dyDescent="0.3">
      <c r="A296" s="12" t="s">
        <v>564</v>
      </c>
      <c r="B296" s="68" t="s">
        <v>11</v>
      </c>
      <c r="C296" s="73">
        <v>31209</v>
      </c>
      <c r="D296" s="14">
        <v>6235.7</v>
      </c>
      <c r="E296" s="14">
        <v>26292</v>
      </c>
      <c r="F296" s="18">
        <v>0</v>
      </c>
      <c r="G296" s="68" t="s">
        <v>776</v>
      </c>
      <c r="H296" s="64">
        <v>0.24</v>
      </c>
      <c r="I296" s="64">
        <v>0.2</v>
      </c>
      <c r="J296" s="64">
        <v>0.23</v>
      </c>
      <c r="K296" s="71">
        <v>0.2530628913694527</v>
      </c>
      <c r="L296" s="65">
        <v>6498.7</v>
      </c>
      <c r="M296" s="65">
        <v>6498.7</v>
      </c>
      <c r="N296" s="13">
        <v>6498.8</v>
      </c>
      <c r="O296" s="13">
        <v>5972.5</v>
      </c>
      <c r="P296" s="30" t="s">
        <v>4</v>
      </c>
      <c r="Q296" s="13">
        <v>6498.8</v>
      </c>
      <c r="R296" s="13">
        <v>5972.5</v>
      </c>
      <c r="S296" s="23">
        <v>6235.7</v>
      </c>
      <c r="T296" s="41"/>
      <c r="U296" s="13">
        <v>26292</v>
      </c>
      <c r="V296" s="13">
        <v>26292</v>
      </c>
      <c r="W296" s="24">
        <v>26292</v>
      </c>
      <c r="X296" s="58" t="str">
        <f>HYPERLINK("http://drinc.ca.gov/DNN/Portals/0/SelfCert/66f924a0-5284-47eb-8013-fe96b1f08416.xlsx","WS1")</f>
        <v>WS1</v>
      </c>
      <c r="Y296" s="10"/>
      <c r="Z296" s="26" t="s">
        <v>13</v>
      </c>
      <c r="AA296" s="13">
        <v>-20056.400000000001</v>
      </c>
      <c r="AB296" s="66">
        <v>0</v>
      </c>
      <c r="AC296" s="30" t="s">
        <v>14</v>
      </c>
      <c r="AD296" s="29" t="s">
        <v>21</v>
      </c>
      <c r="AE296" s="32"/>
      <c r="AF296" s="32"/>
      <c r="AG296" s="17"/>
      <c r="AH296" s="27"/>
      <c r="AI296" s="27"/>
      <c r="AJ296" s="11"/>
      <c r="AK296" s="58" t="str">
        <f>HYPERLINK("http://drinc.ca.gov/DNN/Portals/0/SelfCert/0178324a-4ba7-485b-8059-26648eb6aeab.pdf","Cert")</f>
        <v>Cert</v>
      </c>
      <c r="AL296" s="58" t="str">
        <f>HYPERLINK("http://drinc.ca.gov/DNN/Portals/0/SelfCert/6b924a98-4dae-4763-af48-1abd799ab98f.xlsx","Analysis")</f>
        <v>Analysis</v>
      </c>
    </row>
    <row r="297" spans="1:38" s="19" customFormat="1" ht="14.4" customHeight="1" x14ac:dyDescent="0.3">
      <c r="A297" s="12" t="s">
        <v>290</v>
      </c>
      <c r="B297" s="68" t="s">
        <v>16</v>
      </c>
      <c r="C297" s="73">
        <v>44466</v>
      </c>
      <c r="D297" s="14">
        <v>4830.3</v>
      </c>
      <c r="E297" s="14">
        <v>8053</v>
      </c>
      <c r="F297" s="18">
        <v>0</v>
      </c>
      <c r="G297" s="68" t="s">
        <v>776</v>
      </c>
      <c r="H297" s="64">
        <v>0.12</v>
      </c>
      <c r="I297" s="64">
        <v>0.08</v>
      </c>
      <c r="J297" s="64">
        <v>0.16</v>
      </c>
      <c r="K297" s="71">
        <v>2.7639818613690359E-2</v>
      </c>
      <c r="L297" s="65">
        <v>4959.1000000000004</v>
      </c>
      <c r="M297" s="65">
        <v>4959.1000000000004</v>
      </c>
      <c r="N297" s="13">
        <v>4959.3</v>
      </c>
      <c r="O297" s="13">
        <v>4701.2</v>
      </c>
      <c r="P297" s="30" t="s">
        <v>4</v>
      </c>
      <c r="Q297" s="13">
        <v>4959.3</v>
      </c>
      <c r="R297" s="13">
        <v>4701.2</v>
      </c>
      <c r="S297" s="23">
        <v>4830.3</v>
      </c>
      <c r="T297" s="41"/>
      <c r="U297" s="13">
        <v>8050</v>
      </c>
      <c r="V297" s="13">
        <v>8052</v>
      </c>
      <c r="W297" s="24">
        <v>8053</v>
      </c>
      <c r="X297" s="58" t="str">
        <f>HYPERLINK("http://drinc.ca.gov/DNN/Portals/0/SelfCert/74886797-81ab-4c94-b440-6ce284aa01bc.xlsx","WS1")</f>
        <v>WS1</v>
      </c>
      <c r="Y297" s="10"/>
      <c r="Z297" s="26" t="s">
        <v>13</v>
      </c>
      <c r="AA297" s="13">
        <v>-3222.8</v>
      </c>
      <c r="AB297" s="66">
        <v>0</v>
      </c>
      <c r="AC297" s="30" t="s">
        <v>14</v>
      </c>
      <c r="AD297" s="29" t="s">
        <v>21</v>
      </c>
      <c r="AE297" s="32"/>
      <c r="AF297" s="32"/>
      <c r="AG297" s="17"/>
      <c r="AH297" s="27"/>
      <c r="AI297" s="27"/>
      <c r="AJ297" s="11"/>
      <c r="AK297" s="58" t="str">
        <f>HYPERLINK("http://drinc.ca.gov/DNN/Portals/0/SelfCert/5fc18146-1947-448e-94a2-3ef8fc058151.pdf","Cert")</f>
        <v>Cert</v>
      </c>
      <c r="AL297" s="58" t="str">
        <f>HYPERLINK("http://drinc.ca.gov/DNN/Portals/0/SelfCert/7193c9ae-3ba1-48d4-8e07-6d6d78a91071.xlsx","Analysis")</f>
        <v>Analysis</v>
      </c>
    </row>
    <row r="298" spans="1:38" s="19" customFormat="1" ht="14.4" customHeight="1" x14ac:dyDescent="0.3">
      <c r="A298" s="12" t="s">
        <v>100</v>
      </c>
      <c r="B298" s="68" t="s">
        <v>16</v>
      </c>
      <c r="C298" s="73">
        <v>76002.916666666672</v>
      </c>
      <c r="D298" s="14">
        <v>21324</v>
      </c>
      <c r="E298" s="14">
        <v>20293.599999999999</v>
      </c>
      <c r="F298" s="18">
        <v>0</v>
      </c>
      <c r="G298" s="68" t="s">
        <v>829</v>
      </c>
      <c r="H298" s="64">
        <v>0.36</v>
      </c>
      <c r="I298" s="64">
        <v>0.34</v>
      </c>
      <c r="J298" s="64">
        <v>0.27</v>
      </c>
      <c r="K298" s="71">
        <v>0.22463511637112266</v>
      </c>
      <c r="L298" s="65">
        <v>21671.5</v>
      </c>
      <c r="M298" s="65">
        <v>21671.5</v>
      </c>
      <c r="N298" s="13">
        <v>21671</v>
      </c>
      <c r="O298" s="13">
        <v>20977</v>
      </c>
      <c r="P298" s="30" t="s">
        <v>4</v>
      </c>
      <c r="Q298" s="13">
        <v>21671</v>
      </c>
      <c r="R298" s="13">
        <v>20977</v>
      </c>
      <c r="S298" s="35">
        <v>21324</v>
      </c>
      <c r="T298" s="41"/>
      <c r="U298" s="13">
        <v>21528.9</v>
      </c>
      <c r="V298" s="13">
        <v>21249.7</v>
      </c>
      <c r="W298" s="24">
        <v>20293.599999999999</v>
      </c>
      <c r="X298" s="58" t="str">
        <f>HYPERLINK("http://drinc.ca.gov/DNN/Portals/0/SelfCert/5f37dae7-0213-4332-bd4b-65fa66f18cf3.xlsx","WS1")</f>
        <v>WS1</v>
      </c>
      <c r="Y298" s="10"/>
      <c r="Z298" s="26" t="s">
        <v>31</v>
      </c>
      <c r="AA298" s="32">
        <v>1030.4000000000001</v>
      </c>
      <c r="AB298" s="33">
        <v>0.05</v>
      </c>
      <c r="AC298" s="16"/>
      <c r="AD298" s="11"/>
      <c r="AE298" s="65">
        <v>98870</v>
      </c>
      <c r="AF298" s="65">
        <v>130488</v>
      </c>
      <c r="AG298" s="15">
        <v>0</v>
      </c>
      <c r="AH298" s="37"/>
      <c r="AI298" s="37" t="str">
        <f>HYPERLINK("http://drinc.ca.gov/DNN/Portals/0/SelfCert/7c78f71d-1f7a-4d5e-9305-0f7df35dd985.pdf","Legal")</f>
        <v>Legal</v>
      </c>
      <c r="AJ298" s="10"/>
      <c r="AK298" s="58" t="str">
        <f>HYPERLINK("http://drinc.ca.gov/DNN/Portals/0/SelfCert/bfbc6fd4-612d-45cd-a639-643dcea89114.pdf","Cert")</f>
        <v>Cert</v>
      </c>
      <c r="AL298" s="58" t="str">
        <f>HYPERLINK("http://drinc.ca.gov/DNN/Portals/0/SelfCert/121ed408-ddd1-404e-aee6-256f2a164dff.docx","Analysis")</f>
        <v>Analysis</v>
      </c>
    </row>
    <row r="299" spans="1:38" s="19" customFormat="1" ht="14.4" customHeight="1" x14ac:dyDescent="0.3">
      <c r="A299" s="12" t="s">
        <v>566</v>
      </c>
      <c r="B299" s="68" t="s">
        <v>16</v>
      </c>
      <c r="C299" s="73">
        <v>43351</v>
      </c>
      <c r="D299" s="14">
        <v>7321.7</v>
      </c>
      <c r="E299" s="14">
        <v>7307</v>
      </c>
      <c r="F299" s="18">
        <v>0</v>
      </c>
      <c r="G299" s="68" t="s">
        <v>776</v>
      </c>
      <c r="H299" s="64">
        <v>0.24</v>
      </c>
      <c r="I299" s="64">
        <v>0.22</v>
      </c>
      <c r="J299" s="64">
        <v>0.33</v>
      </c>
      <c r="K299" s="71">
        <v>0.2674675504004419</v>
      </c>
      <c r="L299" s="65">
        <v>7468.9</v>
      </c>
      <c r="M299" s="65">
        <v>7468.9</v>
      </c>
      <c r="N299" s="13">
        <v>7468.9</v>
      </c>
      <c r="O299" s="13">
        <v>7174.4</v>
      </c>
      <c r="P299" s="30" t="s">
        <v>4</v>
      </c>
      <c r="Q299" s="13">
        <v>7468.9</v>
      </c>
      <c r="R299" s="13">
        <v>7174.4</v>
      </c>
      <c r="S299" s="23">
        <v>7321.7</v>
      </c>
      <c r="T299" s="41"/>
      <c r="U299" s="13">
        <v>7307</v>
      </c>
      <c r="V299" s="13">
        <v>7307</v>
      </c>
      <c r="W299" s="24">
        <v>7307</v>
      </c>
      <c r="X299" s="58" t="str">
        <f>HYPERLINK("http://drinc.ca.gov/DNN/Portals/0/SelfCert/72a89618-9166-4009-9c3a-b069149f2f24.xlsx","WS1")</f>
        <v>WS1</v>
      </c>
      <c r="Y299" s="10"/>
      <c r="Z299" s="26" t="s">
        <v>13</v>
      </c>
      <c r="AA299" s="13">
        <v>14.7</v>
      </c>
      <c r="AB299" s="15">
        <v>0</v>
      </c>
      <c r="AC299" s="30" t="s">
        <v>14</v>
      </c>
      <c r="AD299" s="29" t="s">
        <v>21</v>
      </c>
      <c r="AE299" s="32"/>
      <c r="AF299" s="32"/>
      <c r="AG299" s="17"/>
      <c r="AH299" s="27"/>
      <c r="AI299" s="27"/>
      <c r="AJ299" s="11"/>
      <c r="AK299" s="58" t="str">
        <f>HYPERLINK("http://drinc.ca.gov/DNN/Portals/0/SelfCert/f886d9f0-ce2a-4fab-a2df-1b1506c3b9cd.pdf","Cert")</f>
        <v>Cert</v>
      </c>
      <c r="AL299" s="58" t="str">
        <f>HYPERLINK("http://drinc.ca.gov/DNN/Portals/0/SelfCert/b687c072-861b-404c-8735-a27e95f6c441.xlsx","Analysis")</f>
        <v>Analysis</v>
      </c>
    </row>
    <row r="300" spans="1:38" s="19" customFormat="1" ht="14.4" customHeight="1" x14ac:dyDescent="0.3">
      <c r="A300" s="12" t="s">
        <v>61</v>
      </c>
      <c r="B300" s="68" t="s">
        <v>16</v>
      </c>
      <c r="C300" s="73">
        <v>271677</v>
      </c>
      <c r="D300" s="14">
        <v>29282.7</v>
      </c>
      <c r="E300" s="14">
        <v>44086</v>
      </c>
      <c r="F300" s="18">
        <v>0</v>
      </c>
      <c r="G300" s="68" t="s">
        <v>776</v>
      </c>
      <c r="H300" s="64">
        <v>0.12</v>
      </c>
      <c r="I300" s="64">
        <v>0.09</v>
      </c>
      <c r="J300" s="64">
        <v>0.12</v>
      </c>
      <c r="K300" s="71">
        <v>0.15778544146549478</v>
      </c>
      <c r="L300" s="65">
        <v>29900.5</v>
      </c>
      <c r="M300" s="65">
        <v>29900.5</v>
      </c>
      <c r="N300" s="13">
        <v>29900.6</v>
      </c>
      <c r="O300" s="13">
        <v>28664.7</v>
      </c>
      <c r="P300" s="30" t="s">
        <v>4</v>
      </c>
      <c r="Q300" s="13">
        <v>29900.6</v>
      </c>
      <c r="R300" s="13">
        <v>28664.7</v>
      </c>
      <c r="S300" s="23">
        <v>29282.7</v>
      </c>
      <c r="T300" s="41"/>
      <c r="U300" s="13">
        <v>44246</v>
      </c>
      <c r="V300" s="13">
        <v>44225</v>
      </c>
      <c r="W300" s="24">
        <v>44086</v>
      </c>
      <c r="X300" s="58" t="str">
        <f>HYPERLINK("http://drinc.ca.gov/DNN/Portals/0/SelfCert/892e1a1f-2892-495d-9999-801cc3a63f80.xlsx","WS1")</f>
        <v>WS1</v>
      </c>
      <c r="Y300" s="10"/>
      <c r="Z300" s="26" t="s">
        <v>13</v>
      </c>
      <c r="AA300" s="13">
        <v>-14803.4</v>
      </c>
      <c r="AB300" s="66">
        <v>0</v>
      </c>
      <c r="AC300" s="30" t="s">
        <v>14</v>
      </c>
      <c r="AD300" s="29" t="s">
        <v>21</v>
      </c>
      <c r="AE300" s="32"/>
      <c r="AF300" s="32"/>
      <c r="AG300" s="17"/>
      <c r="AH300" s="27"/>
      <c r="AI300" s="27"/>
      <c r="AJ300" s="11"/>
      <c r="AK300" s="58" t="str">
        <f>HYPERLINK("http://drinc.ca.gov/DNN/Portals/0/SelfCert/61b664f0-0895-4994-9273-84c975a5bc0e.pdf","Cert")</f>
        <v>Cert</v>
      </c>
      <c r="AL300" s="58" t="str">
        <f>HYPERLINK("http://drinc.ca.gov/DNN/Portals/0/SelfCert/5c17f04e-0912-4c03-8fb8-8c9b22efca8a.xlsx","Analysis")</f>
        <v>Analysis</v>
      </c>
    </row>
    <row r="301" spans="1:38" s="19" customFormat="1" ht="14.4" customHeight="1" x14ac:dyDescent="0.3">
      <c r="A301" s="12" t="s">
        <v>526</v>
      </c>
      <c r="B301" s="68" t="s">
        <v>16</v>
      </c>
      <c r="C301" s="73">
        <v>111904</v>
      </c>
      <c r="D301" s="14">
        <v>16178.8</v>
      </c>
      <c r="E301" s="14">
        <v>16179</v>
      </c>
      <c r="F301" s="18">
        <v>0</v>
      </c>
      <c r="G301" s="68" t="s">
        <v>776</v>
      </c>
      <c r="H301" s="64">
        <v>0.16</v>
      </c>
      <c r="I301" s="64">
        <v>0.09</v>
      </c>
      <c r="J301" s="64">
        <v>0.21</v>
      </c>
      <c r="K301" s="71">
        <v>0.20181687471407095</v>
      </c>
      <c r="L301" s="65">
        <v>16417.599999999999</v>
      </c>
      <c r="M301" s="65">
        <v>16417.599999999999</v>
      </c>
      <c r="N301" s="13">
        <v>16417.400000000001</v>
      </c>
      <c r="O301" s="13">
        <v>15940.1</v>
      </c>
      <c r="P301" s="30" t="s">
        <v>4</v>
      </c>
      <c r="Q301" s="13">
        <v>16417.400000000001</v>
      </c>
      <c r="R301" s="13">
        <v>15940.1</v>
      </c>
      <c r="S301" s="23">
        <v>16178.8</v>
      </c>
      <c r="T301" s="41"/>
      <c r="U301" s="13">
        <v>16178</v>
      </c>
      <c r="V301" s="13">
        <v>16180</v>
      </c>
      <c r="W301" s="24">
        <v>16179</v>
      </c>
      <c r="X301" s="58" t="str">
        <f>HYPERLINK("http://drinc.ca.gov/DNN/Portals/0/SelfCert/3c0f0546-1938-4bbb-925b-98785684342d.xlsx","WS1")</f>
        <v>WS1</v>
      </c>
      <c r="Y301" s="10"/>
      <c r="Z301" s="26" t="s">
        <v>13</v>
      </c>
      <c r="AA301" s="13">
        <v>-0.3</v>
      </c>
      <c r="AB301" s="15">
        <v>0</v>
      </c>
      <c r="AC301" s="30" t="s">
        <v>14</v>
      </c>
      <c r="AD301" s="29" t="s">
        <v>21</v>
      </c>
      <c r="AE301" s="32"/>
      <c r="AF301" s="32"/>
      <c r="AG301" s="17"/>
      <c r="AH301" s="27"/>
      <c r="AI301" s="27"/>
      <c r="AJ301" s="11"/>
      <c r="AK301" s="58" t="str">
        <f>HYPERLINK("http://drinc.ca.gov/DNN/Portals/0/SelfCert/e9cb8f51-1122-49b0-8a88-4fd0b7664ff7.pdf","Cert")</f>
        <v>Cert</v>
      </c>
      <c r="AL301" s="58" t="str">
        <f>HYPERLINK("http://drinc.ca.gov/DNN/Portals/0/SelfCert/b971ca61-ad9a-48d6-9b84-2672502f4afe.xlsx","Analysis")</f>
        <v>Analysis</v>
      </c>
    </row>
    <row r="302" spans="1:38" s="19" customFormat="1" ht="14.4" customHeight="1" x14ac:dyDescent="0.3">
      <c r="A302" s="12" t="s">
        <v>134</v>
      </c>
      <c r="B302" s="68" t="s">
        <v>23</v>
      </c>
      <c r="C302" s="73">
        <v>43917</v>
      </c>
      <c r="D302" s="14">
        <v>7848</v>
      </c>
      <c r="E302" s="14">
        <v>672145</v>
      </c>
      <c r="F302" s="18">
        <v>0</v>
      </c>
      <c r="G302" s="68" t="s">
        <v>776</v>
      </c>
      <c r="H302" s="64">
        <v>0.24</v>
      </c>
      <c r="I302" s="64">
        <v>0.2</v>
      </c>
      <c r="J302" s="64">
        <v>0.23</v>
      </c>
      <c r="K302" s="71">
        <v>0.17621396054628236</v>
      </c>
      <c r="L302" s="65">
        <v>7980</v>
      </c>
      <c r="M302" s="65">
        <v>7980</v>
      </c>
      <c r="N302" s="13">
        <v>7980</v>
      </c>
      <c r="O302" s="13">
        <v>7716</v>
      </c>
      <c r="P302" s="30" t="s">
        <v>4</v>
      </c>
      <c r="Q302" s="13">
        <v>7980</v>
      </c>
      <c r="R302" s="13">
        <v>7716</v>
      </c>
      <c r="S302" s="23">
        <v>7848</v>
      </c>
      <c r="T302" s="41"/>
      <c r="U302" s="13">
        <v>688397</v>
      </c>
      <c r="V302" s="13">
        <v>680392</v>
      </c>
      <c r="W302" s="24">
        <v>672145</v>
      </c>
      <c r="X302" s="58" t="str">
        <f>HYPERLINK("http://drinc.ca.gov/DNN/Portals/0/SelfCert/47f50742-a69f-4383-b7c8-a11233926b5a.xlsx","WS1")</f>
        <v>WS1</v>
      </c>
      <c r="Y302" s="10" t="s">
        <v>135</v>
      </c>
      <c r="Z302" s="26" t="s">
        <v>13</v>
      </c>
      <c r="AA302" s="13">
        <v>-664297</v>
      </c>
      <c r="AB302" s="66">
        <v>0</v>
      </c>
      <c r="AC302" s="30" t="s">
        <v>18</v>
      </c>
      <c r="AD302" s="29" t="s">
        <v>136</v>
      </c>
      <c r="AE302" s="32"/>
      <c r="AF302" s="32"/>
      <c r="AG302" s="17"/>
      <c r="AH302" s="27"/>
      <c r="AI302" s="27"/>
      <c r="AJ302" s="11"/>
      <c r="AK302" s="58" t="str">
        <f>HYPERLINK("http://drinc.ca.gov/DNN/Portals/0/SelfCert/96068807-a2ab-4814-9258-df2b4bca7e07.pdf","Cert")</f>
        <v>Cert</v>
      </c>
      <c r="AL302" s="58" t="str">
        <f>HYPERLINK("http://drinc.ca.gov/DNN/Portals/0/SelfCert/f257146e-eb03-4883-96ab-ba88c219403e.docx","Analysis")</f>
        <v>Analysis</v>
      </c>
    </row>
    <row r="303" spans="1:38" s="19" customFormat="1" ht="14.4" customHeight="1" x14ac:dyDescent="0.3">
      <c r="A303" s="12" t="s">
        <v>656</v>
      </c>
      <c r="B303" s="68" t="s">
        <v>16</v>
      </c>
      <c r="C303" s="73">
        <v>9900</v>
      </c>
      <c r="D303" s="14">
        <v>3747.1</v>
      </c>
      <c r="E303" s="14">
        <v>3747</v>
      </c>
      <c r="F303" s="18">
        <v>0</v>
      </c>
      <c r="G303" s="68" t="s">
        <v>776</v>
      </c>
      <c r="H303" s="64">
        <v>0.36</v>
      </c>
      <c r="I303" s="64">
        <v>0.34</v>
      </c>
      <c r="J303" s="64">
        <v>0.25</v>
      </c>
      <c r="K303" s="71">
        <v>0.16328626444159178</v>
      </c>
      <c r="L303" s="65">
        <v>3752.7</v>
      </c>
      <c r="M303" s="65">
        <v>3752.7</v>
      </c>
      <c r="N303" s="13">
        <v>3752.9</v>
      </c>
      <c r="O303" s="13">
        <v>3741.3</v>
      </c>
      <c r="P303" s="30" t="s">
        <v>4</v>
      </c>
      <c r="Q303" s="13">
        <v>3752.9</v>
      </c>
      <c r="R303" s="13">
        <v>3741.3</v>
      </c>
      <c r="S303" s="23">
        <v>3747.1</v>
      </c>
      <c r="T303" s="41"/>
      <c r="U303" s="13">
        <v>3747</v>
      </c>
      <c r="V303" s="13">
        <v>3747</v>
      </c>
      <c r="W303" s="24">
        <v>3747</v>
      </c>
      <c r="X303" s="58" t="str">
        <f>HYPERLINK("http://drinc.ca.gov/DNN/Portals/0/SelfCert/6b8c559d-e02b-4a17-b587-370c8eb422d5.xlsx","WS1")</f>
        <v>WS1</v>
      </c>
      <c r="Y303" s="10"/>
      <c r="Z303" s="26" t="s">
        <v>13</v>
      </c>
      <c r="AA303" s="13">
        <v>0.1</v>
      </c>
      <c r="AB303" s="15">
        <v>0</v>
      </c>
      <c r="AC303" s="30" t="s">
        <v>18</v>
      </c>
      <c r="AD303" s="29"/>
      <c r="AE303" s="32"/>
      <c r="AF303" s="32"/>
      <c r="AG303" s="17"/>
      <c r="AH303" s="27"/>
      <c r="AI303" s="27"/>
      <c r="AJ303" s="11"/>
      <c r="AK303" s="58" t="str">
        <f>HYPERLINK("http://drinc.ca.gov/DNN/Portals/0/SelfCert/4f878866-c68a-426a-85ca-ccab3ef544f8.pdf","Cert")</f>
        <v>Cert</v>
      </c>
      <c r="AL303" s="58" t="str">
        <f>HYPERLINK("http://drinc.ca.gov/DNN/Portals/0/SelfCert/f2b429a5-b97f-423a-91ea-8989478853d5.pdf","Analysis")</f>
        <v>Analysis</v>
      </c>
    </row>
    <row r="304" spans="1:38" s="19" customFormat="1" ht="14.4" customHeight="1" x14ac:dyDescent="0.3">
      <c r="A304" s="12" t="s">
        <v>60</v>
      </c>
      <c r="B304" s="68" t="s">
        <v>16</v>
      </c>
      <c r="C304" s="73">
        <v>202412.5</v>
      </c>
      <c r="D304" s="14">
        <v>52737</v>
      </c>
      <c r="E304" s="14">
        <v>55239</v>
      </c>
      <c r="F304" s="18">
        <v>0</v>
      </c>
      <c r="G304" s="68" t="s">
        <v>776</v>
      </c>
      <c r="H304" s="64">
        <v>0.32</v>
      </c>
      <c r="I304" s="64">
        <v>0.3</v>
      </c>
      <c r="J304" s="64">
        <v>0.26</v>
      </c>
      <c r="K304" s="71">
        <v>0.22215237521713271</v>
      </c>
      <c r="L304" s="65">
        <v>52548.1</v>
      </c>
      <c r="M304" s="65">
        <v>52548.1</v>
      </c>
      <c r="N304" s="13">
        <v>52548.1</v>
      </c>
      <c r="O304" s="13">
        <v>52925.9</v>
      </c>
      <c r="P304" s="30" t="s">
        <v>4</v>
      </c>
      <c r="Q304" s="13">
        <v>52548.1</v>
      </c>
      <c r="R304" s="13">
        <v>52925.9</v>
      </c>
      <c r="S304" s="23">
        <v>52737</v>
      </c>
      <c r="T304" s="41"/>
      <c r="U304" s="13">
        <v>59724</v>
      </c>
      <c r="V304" s="13">
        <v>58505</v>
      </c>
      <c r="W304" s="24">
        <v>55239</v>
      </c>
      <c r="X304" s="58" t="str">
        <f>HYPERLINK("http://drinc.ca.gov/DNN/Portals/0/SelfCert/7a300e10-dcfd-481b-9287-b1e4a8fce999.xlsx","WS1")</f>
        <v>WS1</v>
      </c>
      <c r="Y304" s="10"/>
      <c r="Z304" s="26" t="s">
        <v>13</v>
      </c>
      <c r="AA304" s="13">
        <v>-2502</v>
      </c>
      <c r="AB304" s="66">
        <v>0</v>
      </c>
      <c r="AC304" s="30" t="s">
        <v>14</v>
      </c>
      <c r="AD304" s="29"/>
      <c r="AE304" s="32"/>
      <c r="AF304" s="32"/>
      <c r="AG304" s="17"/>
      <c r="AH304" s="27"/>
      <c r="AI304" s="27"/>
      <c r="AJ304" s="11"/>
      <c r="AK304" s="58" t="str">
        <f>HYPERLINK("http://drinc.ca.gov/DNN/Portals/0/SelfCert/7d052cb1-89a2-463b-96b1-a52be4f342f6.pdf","Cert")</f>
        <v>Cert</v>
      </c>
      <c r="AL304" s="58" t="str">
        <f>HYPERLINK("http://drinc.ca.gov/DNN/Portals/0/SelfCert/08a830c7-a7cb-4e59-b8d1-b21619ada5d8.xlsx","Analysis")</f>
        <v>Analysis</v>
      </c>
    </row>
    <row r="305" spans="1:38" s="19" customFormat="1" ht="14.4" customHeight="1" x14ac:dyDescent="0.3">
      <c r="A305" s="12" t="s">
        <v>631</v>
      </c>
      <c r="B305" s="68" t="s">
        <v>23</v>
      </c>
      <c r="C305" s="73">
        <v>105064.5</v>
      </c>
      <c r="D305" s="14">
        <v>34261.699999999997</v>
      </c>
      <c r="E305" s="14">
        <v>95569</v>
      </c>
      <c r="F305" s="18">
        <v>0</v>
      </c>
      <c r="G305" s="68" t="s">
        <v>776</v>
      </c>
      <c r="H305" s="64">
        <v>0.36</v>
      </c>
      <c r="I305" s="64">
        <v>0.32</v>
      </c>
      <c r="J305" s="64">
        <v>0.27</v>
      </c>
      <c r="K305" s="71">
        <v>0.33338486084810615</v>
      </c>
      <c r="L305" s="65">
        <v>34940.699999999997</v>
      </c>
      <c r="M305" s="65">
        <v>34940.699999999997</v>
      </c>
      <c r="N305" s="13">
        <v>34988.9</v>
      </c>
      <c r="O305" s="13">
        <v>33534.5</v>
      </c>
      <c r="P305" s="30" t="s">
        <v>4</v>
      </c>
      <c r="Q305" s="13">
        <v>34988.9</v>
      </c>
      <c r="R305" s="13">
        <v>33534.5</v>
      </c>
      <c r="S305" s="23">
        <v>34261.699999999997</v>
      </c>
      <c r="T305" s="41"/>
      <c r="U305" s="65">
        <v>100875.5</v>
      </c>
      <c r="V305" s="65">
        <v>91123.5</v>
      </c>
      <c r="W305" s="51">
        <v>95569</v>
      </c>
      <c r="X305" s="56" t="str">
        <f>HYPERLINK("http://drinc.ca.gov/DNN/Portals/0/SelfCert/5af9efd4-5209-404e-b7f3-52b1b50959a0.xlsx ","WS1")</f>
        <v>WS1</v>
      </c>
      <c r="Y305" s="10" t="s">
        <v>632</v>
      </c>
      <c r="Z305" s="26" t="s">
        <v>13</v>
      </c>
      <c r="AA305" s="13">
        <v>-61307.3</v>
      </c>
      <c r="AB305" s="66">
        <v>0</v>
      </c>
      <c r="AC305" s="30" t="s">
        <v>18</v>
      </c>
      <c r="AD305" s="29" t="s">
        <v>633</v>
      </c>
      <c r="AE305" s="32"/>
      <c r="AF305" s="32"/>
      <c r="AG305" s="17"/>
      <c r="AH305" s="27"/>
      <c r="AI305" s="27"/>
      <c r="AJ305" s="11"/>
      <c r="AK305" s="58" t="str">
        <f>HYPERLINK("http://drinc.ca.gov/DNN/Portals/0/SelfCert/58f38a68-335d-4640-818f-b8866e156745.pdf","Cert")</f>
        <v>Cert</v>
      </c>
      <c r="AL305" s="56" t="str">
        <f>HYPERLINK("http://drinc.ca.gov/DNN/Portals/0/SelfCert/aca6c342-ea86-4602-90d7-e0076bc918d9.pdf","Analysis")</f>
        <v>Analysis</v>
      </c>
    </row>
    <row r="306" spans="1:38" s="19" customFormat="1" ht="14.4" customHeight="1" x14ac:dyDescent="0.3">
      <c r="A306" s="12" t="s">
        <v>705</v>
      </c>
      <c r="B306" s="68" t="s">
        <v>16</v>
      </c>
      <c r="C306" s="73">
        <v>32228</v>
      </c>
      <c r="D306" s="14">
        <v>8337.5</v>
      </c>
      <c r="E306" s="14">
        <v>8516</v>
      </c>
      <c r="F306" s="18">
        <v>0</v>
      </c>
      <c r="G306" s="68" t="s">
        <v>776</v>
      </c>
      <c r="H306" s="64">
        <v>0.32</v>
      </c>
      <c r="I306" s="64">
        <v>0.3</v>
      </c>
      <c r="J306" s="64">
        <v>0.27</v>
      </c>
      <c r="K306" s="71">
        <v>0.22197945540518504</v>
      </c>
      <c r="L306" s="65">
        <v>8422.2000000000007</v>
      </c>
      <c r="M306" s="65">
        <v>8422.2000000000007</v>
      </c>
      <c r="N306" s="13">
        <v>8424.7000000000007</v>
      </c>
      <c r="O306" s="13">
        <v>8250.4</v>
      </c>
      <c r="P306" s="30" t="s">
        <v>4</v>
      </c>
      <c r="Q306" s="13">
        <v>8424.7000000000007</v>
      </c>
      <c r="R306" s="13">
        <v>8250.4</v>
      </c>
      <c r="S306" s="23">
        <v>8337.5</v>
      </c>
      <c r="T306" s="41"/>
      <c r="U306" s="13">
        <v>7912</v>
      </c>
      <c r="V306" s="13">
        <v>8262</v>
      </c>
      <c r="W306" s="24">
        <v>8516</v>
      </c>
      <c r="X306" s="58" t="str">
        <f>HYPERLINK("http://drinc.ca.gov/DNN/Portals/0/SelfCert/7c16a20d-f37e-4b3a-9823-23505c2731d6.xlsx","WS1")</f>
        <v>WS1</v>
      </c>
      <c r="Y306" s="10"/>
      <c r="Z306" s="26" t="s">
        <v>13</v>
      </c>
      <c r="AA306" s="13">
        <v>-178.5</v>
      </c>
      <c r="AB306" s="66">
        <v>0</v>
      </c>
      <c r="AC306" s="30" t="s">
        <v>18</v>
      </c>
      <c r="AD306" s="29"/>
      <c r="AE306" s="32"/>
      <c r="AF306" s="32"/>
      <c r="AG306" s="17"/>
      <c r="AH306" s="27"/>
      <c r="AI306" s="39" t="s">
        <v>781</v>
      </c>
      <c r="AJ306" s="11"/>
      <c r="AK306" s="58" t="str">
        <f>HYPERLINK("http://drinc.ca.gov/DNN/Portals/0/SelfCert/b19f8af0-49e6-45e5-a275-92dd43e2b565.pdf","Cert")</f>
        <v>Cert</v>
      </c>
      <c r="AL306" s="58" t="str">
        <f>HYPERLINK("http://drinc.ca.gov/DNN/Portals/0/SelfCert/67520329-9b2a-4d17-bf4b-094221306011.xlsx","Analysis")</f>
        <v>Analysis</v>
      </c>
    </row>
    <row r="307" spans="1:38" s="19" customFormat="1" ht="14.4" customHeight="1" x14ac:dyDescent="0.3">
      <c r="A307" s="12" t="s">
        <v>285</v>
      </c>
      <c r="B307" s="68" t="s">
        <v>16</v>
      </c>
      <c r="C307" s="73">
        <v>138000</v>
      </c>
      <c r="D307" s="14">
        <v>29231.5</v>
      </c>
      <c r="E307" s="14">
        <v>29229</v>
      </c>
      <c r="F307" s="18">
        <v>0</v>
      </c>
      <c r="G307" s="68" t="s">
        <v>776</v>
      </c>
      <c r="H307" s="64">
        <v>0.28000000000000003</v>
      </c>
      <c r="I307" s="64">
        <v>0.21</v>
      </c>
      <c r="J307" s="64">
        <v>0.21</v>
      </c>
      <c r="K307" s="71">
        <v>0.22266776456911941</v>
      </c>
      <c r="L307" s="65">
        <v>29334.6</v>
      </c>
      <c r="M307" s="65">
        <v>29334.6</v>
      </c>
      <c r="N307" s="13">
        <v>29335</v>
      </c>
      <c r="O307" s="13">
        <v>29128</v>
      </c>
      <c r="P307" s="30" t="s">
        <v>4</v>
      </c>
      <c r="Q307" s="13">
        <v>29335</v>
      </c>
      <c r="R307" s="13">
        <v>29128</v>
      </c>
      <c r="S307" s="23">
        <v>29231.5</v>
      </c>
      <c r="T307" s="41"/>
      <c r="U307" s="13">
        <v>29225</v>
      </c>
      <c r="V307" s="13">
        <v>29231</v>
      </c>
      <c r="W307" s="24">
        <v>29229</v>
      </c>
      <c r="X307" s="58" t="str">
        <f>HYPERLINK("http://drinc.ca.gov/DNN/Portals/0/SelfCert/1c58e457-5be0-4090-a878-16c2b0fe2b3c.xlsx","WS1")</f>
        <v>WS1</v>
      </c>
      <c r="Y307" s="10"/>
      <c r="Z307" s="26" t="s">
        <v>13</v>
      </c>
      <c r="AA307" s="13">
        <v>2.5</v>
      </c>
      <c r="AB307" s="15">
        <v>0</v>
      </c>
      <c r="AC307" s="30" t="s">
        <v>18</v>
      </c>
      <c r="AD307" s="29"/>
      <c r="AE307" s="32"/>
      <c r="AF307" s="32"/>
      <c r="AG307" s="17"/>
      <c r="AH307" s="27"/>
      <c r="AI307" s="27"/>
      <c r="AJ307" s="11"/>
      <c r="AK307" s="58" t="str">
        <f>HYPERLINK("http://drinc.ca.gov/DNN/Portals/0/SelfCert/4bdc5961-d4f7-4d40-9f25-ae61c82b0f17.pdf","Cert")</f>
        <v>Cert</v>
      </c>
      <c r="AL307" s="58" t="str">
        <f>HYPERLINK("http://drinc.ca.gov/DNN/Portals/0/SelfCert/4c4889c5-e9eb-4a8f-b523-d59f44d93b5e.xlsx","Analysis")</f>
        <v>Analysis</v>
      </c>
    </row>
    <row r="308" spans="1:38" s="19" customFormat="1" ht="14.4" customHeight="1" x14ac:dyDescent="0.3">
      <c r="A308" s="12" t="s">
        <v>621</v>
      </c>
      <c r="B308" s="68" t="s">
        <v>16</v>
      </c>
      <c r="C308" s="73">
        <v>11098</v>
      </c>
      <c r="D308" s="14">
        <v>2471.4</v>
      </c>
      <c r="E308" s="14">
        <v>4430</v>
      </c>
      <c r="F308" s="18">
        <v>0</v>
      </c>
      <c r="G308" s="68" t="s">
        <v>776</v>
      </c>
      <c r="H308" s="64">
        <v>0.32</v>
      </c>
      <c r="I308" s="64">
        <v>0.3</v>
      </c>
      <c r="J308" s="64">
        <v>0.21</v>
      </c>
      <c r="K308" s="71">
        <v>0.23755486141315085</v>
      </c>
      <c r="L308" s="65">
        <v>2575.1999999999998</v>
      </c>
      <c r="M308" s="65">
        <v>2575.1999999999998</v>
      </c>
      <c r="N308" s="13">
        <v>2586.5</v>
      </c>
      <c r="O308" s="13">
        <v>2356.3000000000002</v>
      </c>
      <c r="P308" s="30" t="s">
        <v>4</v>
      </c>
      <c r="Q308" s="13">
        <v>2586.5</v>
      </c>
      <c r="R308" s="13">
        <v>2356.3000000000002</v>
      </c>
      <c r="S308" s="34">
        <v>2471.4</v>
      </c>
      <c r="T308" s="41"/>
      <c r="U308" s="13">
        <v>4430</v>
      </c>
      <c r="V308" s="13">
        <v>4430</v>
      </c>
      <c r="W308" s="24">
        <v>4430</v>
      </c>
      <c r="X308" s="58" t="str">
        <f>HYPERLINK("http://drinc.ca.gov/DNN/Portals/0/SelfCert/0509fd34-d283-44f0-bd63-11ee94e40e23.xlsx","WS1")</f>
        <v>WS1</v>
      </c>
      <c r="Y308" s="10"/>
      <c r="Z308" s="26" t="s">
        <v>13</v>
      </c>
      <c r="AA308" s="31">
        <v>-1958.6</v>
      </c>
      <c r="AB308" s="66">
        <v>0</v>
      </c>
      <c r="AC308" s="30" t="s">
        <v>18</v>
      </c>
      <c r="AD308" s="29" t="s">
        <v>767</v>
      </c>
      <c r="AE308" s="32"/>
      <c r="AF308" s="32"/>
      <c r="AG308" s="17"/>
      <c r="AH308" s="36"/>
      <c r="AI308" s="36"/>
      <c r="AJ308" s="11"/>
      <c r="AK308" s="58" t="str">
        <f>HYPERLINK("http://drinc.ca.gov/DNN/Portals/0/SelfCert/6fac1ad3-41d5-4c54-a289-0d577a42aa5b.pdf","Cert")</f>
        <v>Cert</v>
      </c>
      <c r="AL308" s="58" t="str">
        <f>HYPERLINK("http://drinc.ca.gov/DNN/Portals/0/SelfCert/071d8d0c-4d12-4828-ba0a-d0accd9a0e3e.docx","Analysis")</f>
        <v>Analysis</v>
      </c>
    </row>
    <row r="309" spans="1:38" s="19" customFormat="1" ht="14.4" customHeight="1" x14ac:dyDescent="0.3">
      <c r="A309" s="12" t="s">
        <v>676</v>
      </c>
      <c r="B309" s="68" t="s">
        <v>50</v>
      </c>
      <c r="C309" s="73">
        <v>9583.0833333333339</v>
      </c>
      <c r="D309" s="14">
        <v>1800</v>
      </c>
      <c r="E309" s="14">
        <v>12000</v>
      </c>
      <c r="F309" s="18">
        <v>0</v>
      </c>
      <c r="G309" s="68" t="s">
        <v>776</v>
      </c>
      <c r="H309" s="64">
        <v>0.32</v>
      </c>
      <c r="I309" s="64">
        <v>0.28999999999999998</v>
      </c>
      <c r="J309" s="64">
        <v>0.27</v>
      </c>
      <c r="K309" s="71">
        <v>0.2492848335388409</v>
      </c>
      <c r="L309" s="65">
        <v>2009.9</v>
      </c>
      <c r="M309" s="65">
        <v>2009.9</v>
      </c>
      <c r="N309" s="13">
        <v>2000</v>
      </c>
      <c r="O309" s="13">
        <v>1600</v>
      </c>
      <c r="P309" s="30" t="s">
        <v>4</v>
      </c>
      <c r="Q309" s="13">
        <v>2000</v>
      </c>
      <c r="R309" s="13">
        <v>1600</v>
      </c>
      <c r="S309" s="23">
        <v>1800</v>
      </c>
      <c r="T309" s="41"/>
      <c r="U309" s="13">
        <v>20000</v>
      </c>
      <c r="V309" s="13">
        <v>16000</v>
      </c>
      <c r="W309" s="24">
        <v>12000</v>
      </c>
      <c r="X309" s="58" t="str">
        <f>HYPERLINK("http://drinc.ca.gov/DNN/Portals/0/SelfCert/3aa9731f-3c4d-41ef-82b6-b2f617c9d997.xlsx","WS1")</f>
        <v>WS1</v>
      </c>
      <c r="Y309" s="10" t="s">
        <v>677</v>
      </c>
      <c r="Z309" s="26" t="s">
        <v>13</v>
      </c>
      <c r="AA309" s="13">
        <v>-10200</v>
      </c>
      <c r="AB309" s="66">
        <v>0</v>
      </c>
      <c r="AC309" s="30" t="s">
        <v>18</v>
      </c>
      <c r="AD309" s="29" t="s">
        <v>678</v>
      </c>
      <c r="AE309" s="32"/>
      <c r="AF309" s="32"/>
      <c r="AG309" s="17"/>
      <c r="AH309" s="27"/>
      <c r="AI309" s="27"/>
      <c r="AJ309" s="11"/>
      <c r="AK309" s="58" t="str">
        <f>HYPERLINK("http://drinc.ca.gov/DNN/Portals/0/SelfCert/a381b139-e2e7-48b5-b01c-8ae2f6368547.pdf","Cert")</f>
        <v>Cert</v>
      </c>
      <c r="AL309" s="58" t="str">
        <f>HYPERLINK("http://drinc.ca.gov/DNN/Portals/0/SelfCert/0767b348-3935-440c-acf0-97808e66c020.docx","Analysis")</f>
        <v>Analysis</v>
      </c>
    </row>
    <row r="310" spans="1:38" s="19" customFormat="1" ht="14.4" customHeight="1" x14ac:dyDescent="0.3">
      <c r="A310" s="12" t="s">
        <v>352</v>
      </c>
      <c r="B310" s="68" t="s">
        <v>16</v>
      </c>
      <c r="C310" s="73">
        <v>18361</v>
      </c>
      <c r="D310" s="14">
        <v>2175.5</v>
      </c>
      <c r="E310" s="14">
        <v>2870</v>
      </c>
      <c r="F310" s="18">
        <v>0</v>
      </c>
      <c r="G310" s="68" t="s">
        <v>798</v>
      </c>
      <c r="H310" s="64">
        <v>0.2</v>
      </c>
      <c r="I310" s="64">
        <v>0.17</v>
      </c>
      <c r="J310" s="64">
        <v>0.14000000000000001</v>
      </c>
      <c r="K310" s="71">
        <v>0.14709831418767716</v>
      </c>
      <c r="L310" s="65">
        <v>2206.1999999999998</v>
      </c>
      <c r="M310" s="65">
        <v>2206.1999999999998</v>
      </c>
      <c r="N310" s="13">
        <v>2206</v>
      </c>
      <c r="O310" s="13">
        <v>2145</v>
      </c>
      <c r="P310" s="30" t="s">
        <v>4</v>
      </c>
      <c r="Q310" s="13">
        <v>2206</v>
      </c>
      <c r="R310" s="13">
        <v>2145</v>
      </c>
      <c r="S310" s="23">
        <v>2175.5</v>
      </c>
      <c r="T310" s="41"/>
      <c r="U310" s="13">
        <v>3319</v>
      </c>
      <c r="V310" s="13">
        <v>3320</v>
      </c>
      <c r="W310" s="24">
        <v>3320</v>
      </c>
      <c r="X310" s="58" t="str">
        <f>HYPERLINK("http://drinc.ca.gov/DNN/Portals/0/SelfCert/4e33d529-36f7-4d5d-b7da-08666e4fef68.xlsx","WS1")</f>
        <v>WS1</v>
      </c>
      <c r="Y310" s="10"/>
      <c r="Z310" s="26" t="s">
        <v>13</v>
      </c>
      <c r="AA310" s="13">
        <v>-1144.5</v>
      </c>
      <c r="AB310" s="66">
        <v>0</v>
      </c>
      <c r="AC310" s="30" t="s">
        <v>14</v>
      </c>
      <c r="AD310" s="29"/>
      <c r="AE310" s="32"/>
      <c r="AF310" s="32"/>
      <c r="AG310" s="17"/>
      <c r="AH310" s="27"/>
      <c r="AI310" s="27"/>
      <c r="AJ310" s="11"/>
      <c r="AK310" s="58" t="str">
        <f>HYPERLINK("http://drinc.ca.gov/DNN/Portals/0/SelfCert/2b56c329-ed87-4919-81e7-c5258fb9a82e.pdf","Cert")</f>
        <v>Cert</v>
      </c>
      <c r="AL310" s="58" t="str">
        <f>HYPERLINK("http://drinc.ca.gov/DNN/Portals/0/SelfCert/c09f0eae-d556-4536-8ca5-736444178fd3.docx","Analysis")</f>
        <v>Analysis</v>
      </c>
    </row>
    <row r="311" spans="1:38" s="19" customFormat="1" ht="14.4" customHeight="1" x14ac:dyDescent="0.3">
      <c r="A311" s="12" t="s">
        <v>64</v>
      </c>
      <c r="B311" s="68" t="s">
        <v>16</v>
      </c>
      <c r="C311" s="73">
        <v>51463</v>
      </c>
      <c r="D311" s="14">
        <v>14014</v>
      </c>
      <c r="E311" s="14">
        <v>11203</v>
      </c>
      <c r="F311" s="18">
        <v>0.2</v>
      </c>
      <c r="G311" s="68" t="s">
        <v>776</v>
      </c>
      <c r="H311" s="64">
        <v>0.36</v>
      </c>
      <c r="I311" s="64">
        <v>0.34</v>
      </c>
      <c r="J311" s="64">
        <v>0.31</v>
      </c>
      <c r="K311" s="71">
        <v>0.27022154561115341</v>
      </c>
      <c r="L311" s="65">
        <v>12697.5</v>
      </c>
      <c r="M311" s="65">
        <v>12697.5</v>
      </c>
      <c r="N311" s="13">
        <v>14287.3</v>
      </c>
      <c r="O311" s="13">
        <v>13740.6</v>
      </c>
      <c r="P311" s="30" t="s">
        <v>4</v>
      </c>
      <c r="Q311" s="13">
        <v>14287.3</v>
      </c>
      <c r="R311" s="13">
        <v>13740.6</v>
      </c>
      <c r="S311" s="23">
        <v>14014</v>
      </c>
      <c r="T311" s="41"/>
      <c r="U311" s="13">
        <v>9630</v>
      </c>
      <c r="V311" s="13">
        <v>11967</v>
      </c>
      <c r="W311" s="24">
        <v>11203</v>
      </c>
      <c r="X311" s="58" t="str">
        <f>HYPERLINK("https://drinc.ca.gov/DNN/Portals/0/SelfCert/82e7df51-b42f-475e-ae5d-1e3e1665088c.xlsx","WS1")</f>
        <v>WS1</v>
      </c>
      <c r="Y311" s="10"/>
      <c r="Z311" s="26" t="s">
        <v>13</v>
      </c>
      <c r="AA311" s="13">
        <v>2811</v>
      </c>
      <c r="AB311" s="15">
        <v>0.2</v>
      </c>
      <c r="AC311" s="30" t="s">
        <v>14</v>
      </c>
      <c r="AD311" s="29"/>
      <c r="AE311" s="32"/>
      <c r="AF311" s="32"/>
      <c r="AG311" s="17"/>
      <c r="AH311" s="27"/>
      <c r="AI311" s="27"/>
      <c r="AJ311" s="11"/>
      <c r="AK311" s="58" t="str">
        <f>HYPERLINK("https://drinc.ca.gov/DNN/Portals/0/SelfCert/928645d8-4acd-4888-9402-457e29785591.pdf","Cert")</f>
        <v>Cert</v>
      </c>
      <c r="AL311" s="58" t="str">
        <f>HYPERLINK("https://drinc.ca.gov/DNN/Portals/0/SelfCert/cb0117fc-b15e-4e27-b8da-59f5c5e6cc9a.xlsx","Analysis")</f>
        <v>Analysis</v>
      </c>
    </row>
    <row r="312" spans="1:38" s="19" customFormat="1" ht="14.4" customHeight="1" x14ac:dyDescent="0.3">
      <c r="A312" s="12" t="s">
        <v>30</v>
      </c>
      <c r="B312" s="68" t="s">
        <v>16</v>
      </c>
      <c r="C312" s="73">
        <v>19839</v>
      </c>
      <c r="D312" s="14">
        <v>11820</v>
      </c>
      <c r="E312" s="14">
        <v>12100</v>
      </c>
      <c r="F312" s="18">
        <v>0</v>
      </c>
      <c r="G312" s="68" t="s">
        <v>830</v>
      </c>
      <c r="H312" s="64">
        <v>0.36</v>
      </c>
      <c r="I312" s="64">
        <v>0.28000000000000003</v>
      </c>
      <c r="J312" s="64">
        <v>0.32</v>
      </c>
      <c r="K312" s="71">
        <v>0.26347687400318975</v>
      </c>
      <c r="L312" s="65">
        <v>11456.4</v>
      </c>
      <c r="M312" s="65">
        <v>11169.5</v>
      </c>
      <c r="N312" s="13">
        <v>11361</v>
      </c>
      <c r="O312" s="13">
        <v>12279</v>
      </c>
      <c r="P312" s="30" t="s">
        <v>4</v>
      </c>
      <c r="Q312" s="13">
        <v>11361</v>
      </c>
      <c r="R312" s="13">
        <v>12279</v>
      </c>
      <c r="S312" s="35">
        <v>11820</v>
      </c>
      <c r="T312" s="41"/>
      <c r="U312" s="13">
        <v>12048</v>
      </c>
      <c r="V312" s="13">
        <v>11973</v>
      </c>
      <c r="W312" s="24">
        <v>12100</v>
      </c>
      <c r="X312" s="58" t="str">
        <f>HYPERLINK("http://drinc.ca.gov/DNN/Portals/0/SelfCert/7f9f4d4c-b8bc-4b9c-b2ec-6683ab24212b.xlsx","WS1")</f>
        <v>WS1</v>
      </c>
      <c r="Y312" s="10"/>
      <c r="Z312" s="52" t="s">
        <v>31</v>
      </c>
      <c r="AA312" s="32">
        <v>-280</v>
      </c>
      <c r="AB312" s="33">
        <v>0</v>
      </c>
      <c r="AC312" s="16"/>
      <c r="AD312" s="11"/>
      <c r="AE312" s="65"/>
      <c r="AF312" s="65"/>
      <c r="AG312" s="15">
        <v>0</v>
      </c>
      <c r="AH312" s="38" t="s">
        <v>777</v>
      </c>
      <c r="AI312" s="37" t="str">
        <f>HYPERLINK("http://drinc.ca.gov/DNN/Portals/0/SelfCert/76a8e24a-2bdb-4bb8-b5ad-e1ce67121cd8.pdf","Legal")</f>
        <v>Legal</v>
      </c>
      <c r="AJ312" s="10"/>
      <c r="AK312" s="58" t="str">
        <f>HYPERLINK("http://drinc.ca.gov/DNN/Portals/0/SelfCert/729d98fa-31b9-46df-a5b1-1ae5f55918a9.pdf","Cert")</f>
        <v>Cert</v>
      </c>
      <c r="AL312" s="58" t="str">
        <f>HYPERLINK("http://drinc.ca.gov/DNN/Portals/0/SelfCert/eeddb03b-11ba-4112-9c74-2122a5ccc7ba.docx","Analysis")</f>
        <v>Analysis</v>
      </c>
    </row>
    <row r="313" spans="1:38" s="19" customFormat="1" ht="14.4" customHeight="1" x14ac:dyDescent="0.3">
      <c r="A313" s="12" t="s">
        <v>688</v>
      </c>
      <c r="B313" s="68" t="s">
        <v>11</v>
      </c>
      <c r="C313" s="73">
        <v>17700</v>
      </c>
      <c r="D313" s="14">
        <v>2834</v>
      </c>
      <c r="E313" s="14">
        <v>4900</v>
      </c>
      <c r="F313" s="18">
        <v>0</v>
      </c>
      <c r="G313" s="68" t="s">
        <v>776</v>
      </c>
      <c r="H313" s="64">
        <v>0.28000000000000003</v>
      </c>
      <c r="I313" s="64">
        <v>0.24</v>
      </c>
      <c r="J313" s="64">
        <v>0.27</v>
      </c>
      <c r="K313" s="71">
        <v>0.15467239527389909</v>
      </c>
      <c r="L313" s="65">
        <v>2982</v>
      </c>
      <c r="M313" s="65">
        <v>2982</v>
      </c>
      <c r="N313" s="13">
        <v>2877.7</v>
      </c>
      <c r="O313" s="13">
        <v>2790.2</v>
      </c>
      <c r="P313" s="30" t="s">
        <v>4</v>
      </c>
      <c r="Q313" s="13">
        <v>2877.7</v>
      </c>
      <c r="R313" s="13">
        <v>2790.2</v>
      </c>
      <c r="S313" s="23">
        <v>2834</v>
      </c>
      <c r="T313" s="41"/>
      <c r="U313" s="13">
        <v>4900</v>
      </c>
      <c r="V313" s="13">
        <v>4900</v>
      </c>
      <c r="W313" s="24">
        <v>4900</v>
      </c>
      <c r="X313" s="58" t="str">
        <f>HYPERLINK("http://drinc.ca.gov/DNN/Portals/0/SelfCert/57de9296-c838-4306-bda8-af01e3858cac.xlsx","WS1")</f>
        <v>WS1</v>
      </c>
      <c r="Y313" s="10"/>
      <c r="Z313" s="26" t="s">
        <v>13</v>
      </c>
      <c r="AA313" s="13">
        <v>-2066</v>
      </c>
      <c r="AB313" s="66">
        <v>0</v>
      </c>
      <c r="AC313" s="30" t="s">
        <v>14</v>
      </c>
      <c r="AD313" s="29"/>
      <c r="AE313" s="32"/>
      <c r="AF313" s="32"/>
      <c r="AG313" s="17"/>
      <c r="AH313" s="27"/>
      <c r="AI313" s="27"/>
      <c r="AJ313" s="11"/>
      <c r="AK313" s="58" t="str">
        <f>HYPERLINK("http://drinc.ca.gov/DNN/Portals/0/SelfCert/f0d5b11e-ae0f-43f3-896c-75209e80be8b.pdf","Cert")</f>
        <v>Cert</v>
      </c>
      <c r="AL313" s="58" t="str">
        <f>HYPERLINK("http://drinc.ca.gov/DNN/Portals/0/SelfCert/9c8bc1cf-7994-40cd-8519-e8777e4ed868.xls","Analysis")</f>
        <v>Analysis</v>
      </c>
    </row>
    <row r="314" spans="1:38" s="19" customFormat="1" ht="14.4" customHeight="1" x14ac:dyDescent="0.3">
      <c r="A314" s="12" t="s">
        <v>142</v>
      </c>
      <c r="B314" s="68" t="s">
        <v>16</v>
      </c>
      <c r="C314" s="73">
        <v>125591.5</v>
      </c>
      <c r="D314" s="14">
        <v>11213.9</v>
      </c>
      <c r="E314" s="14">
        <v>11214</v>
      </c>
      <c r="F314" s="18">
        <v>0</v>
      </c>
      <c r="G314" s="68" t="s">
        <v>776</v>
      </c>
      <c r="H314" s="64">
        <v>0.08</v>
      </c>
      <c r="I314" s="64">
        <v>0.08</v>
      </c>
      <c r="J314" s="64">
        <v>0.21</v>
      </c>
      <c r="K314" s="71">
        <v>0.19658119658119655</v>
      </c>
      <c r="L314" s="65">
        <v>12036.8</v>
      </c>
      <c r="M314" s="65">
        <v>12036.8</v>
      </c>
      <c r="N314" s="13">
        <v>11538.7</v>
      </c>
      <c r="O314" s="13">
        <v>10889.1</v>
      </c>
      <c r="P314" s="30" t="s">
        <v>4</v>
      </c>
      <c r="Q314" s="13">
        <v>11538.6</v>
      </c>
      <c r="R314" s="13">
        <v>10889.1</v>
      </c>
      <c r="S314" s="23">
        <v>11213.9</v>
      </c>
      <c r="T314" s="41"/>
      <c r="U314" s="13">
        <v>11214</v>
      </c>
      <c r="V314" s="13">
        <v>11214</v>
      </c>
      <c r="W314" s="24">
        <v>11214</v>
      </c>
      <c r="X314" s="58" t="str">
        <f>HYPERLINK("https://drinc.ca.gov/DNN/Portals/0/SelfCert/99e44c44-5388-425f-a76a-aba8f2ebb969.xlsx","WS1")</f>
        <v>WS1</v>
      </c>
      <c r="Y314" s="10"/>
      <c r="Z314" s="26" t="s">
        <v>13</v>
      </c>
      <c r="AA314" s="13">
        <v>-0.1</v>
      </c>
      <c r="AB314" s="15">
        <v>0</v>
      </c>
      <c r="AC314" s="30"/>
      <c r="AD314" s="29"/>
      <c r="AE314" s="32"/>
      <c r="AF314" s="32"/>
      <c r="AG314" s="17"/>
      <c r="AH314" s="27"/>
      <c r="AI314" s="27"/>
      <c r="AJ314" s="11"/>
      <c r="AK314" s="58" t="str">
        <f>HYPERLINK("https://drinc.ca.gov/DNN/Portals/0/SelfCert/6ef9fcf1-86d8-45c0-a26a-be5abf76604f.pdf","Cert")</f>
        <v>Cert</v>
      </c>
      <c r="AL314" s="58" t="str">
        <f>HYPERLINK("https://drinc.ca.gov/DNN/Portals/0/SelfCert/634ede53-fcdd-4435-b078-f5b162411f20.xlsx","Analysis")</f>
        <v>Analysis</v>
      </c>
    </row>
    <row r="315" spans="1:38" s="19" customFormat="1" ht="14.4" customHeight="1" x14ac:dyDescent="0.3">
      <c r="A315" s="12" t="s">
        <v>496</v>
      </c>
      <c r="B315" s="68" t="s">
        <v>16</v>
      </c>
      <c r="C315" s="73">
        <v>48774</v>
      </c>
      <c r="D315" s="14">
        <v>12197</v>
      </c>
      <c r="E315" s="14">
        <v>12197</v>
      </c>
      <c r="F315" s="18">
        <v>0</v>
      </c>
      <c r="G315" s="68" t="s">
        <v>830</v>
      </c>
      <c r="H315" s="64">
        <v>0.32</v>
      </c>
      <c r="I315" s="64">
        <v>0.24</v>
      </c>
      <c r="J315" s="64">
        <v>0.3</v>
      </c>
      <c r="K315" s="71">
        <v>0.32000874699322102</v>
      </c>
      <c r="L315" s="65">
        <v>12183.5</v>
      </c>
      <c r="M315" s="65">
        <v>12145.1</v>
      </c>
      <c r="N315" s="13">
        <v>12146</v>
      </c>
      <c r="O315" s="13">
        <v>12248</v>
      </c>
      <c r="P315" s="30" t="s">
        <v>4</v>
      </c>
      <c r="Q315" s="13">
        <v>12146</v>
      </c>
      <c r="R315" s="13">
        <v>12248</v>
      </c>
      <c r="S315" s="35">
        <v>12197</v>
      </c>
      <c r="T315" s="41"/>
      <c r="U315" s="13">
        <v>12197</v>
      </c>
      <c r="V315" s="13">
        <v>12197</v>
      </c>
      <c r="W315" s="24">
        <v>12197</v>
      </c>
      <c r="X315" s="58" t="str">
        <f>HYPERLINK("http://www.drinc.ca.gov/DNN/Portals/0/SelfCert/108d982a-4c53-44f7-9995-fecf8797085f.xlsx","WS1")</f>
        <v>WS1</v>
      </c>
      <c r="Y315" s="10" t="s">
        <v>497</v>
      </c>
      <c r="Z315" s="52" t="s">
        <v>31</v>
      </c>
      <c r="AA315" s="32">
        <v>0</v>
      </c>
      <c r="AB315" s="33">
        <v>0</v>
      </c>
      <c r="AC315" s="16" t="s">
        <v>14</v>
      </c>
      <c r="AD315" s="11"/>
      <c r="AE315" s="65"/>
      <c r="AF315" s="65"/>
      <c r="AG315" s="15">
        <v>0</v>
      </c>
      <c r="AH315" s="38" t="s">
        <v>777</v>
      </c>
      <c r="AI315" s="37" t="str">
        <f>HYPERLINK("http://drinc.ca.gov/DNN/Portals/0/SelfCert/dfd724de-f543-4896-8cc4-e778ead3f440.pdf","Legal")</f>
        <v>Legal</v>
      </c>
      <c r="AJ315" s="10" t="s">
        <v>498</v>
      </c>
      <c r="AK315" s="58" t="str">
        <f>HYPERLINK("http://www.drinc.ca.gov/DNN/Portals/0/SelfCert/0d80af51-44b5-4972-9f07-f4d2d3f4184f.pdf","Cert")</f>
        <v>Cert</v>
      </c>
      <c r="AL315" s="58" t="str">
        <f>HYPERLINK("http://www.drinc.ca.gov/DNN/Portals/0/SelfCert/fd89a9f7-0bf0-4ed8-b3a7-62f5ce2eb1ae.xlsx","Analysis")</f>
        <v>Analysis</v>
      </c>
    </row>
    <row r="316" spans="1:38" s="19" customFormat="1" ht="14.4" customHeight="1" x14ac:dyDescent="0.3">
      <c r="A316" s="12" t="s">
        <v>178</v>
      </c>
      <c r="B316" s="68" t="s">
        <v>50</v>
      </c>
      <c r="C316" s="73">
        <v>11013</v>
      </c>
      <c r="D316" s="14">
        <v>2492</v>
      </c>
      <c r="E316" s="14">
        <v>3000</v>
      </c>
      <c r="F316" s="18">
        <v>0</v>
      </c>
      <c r="G316" s="68" t="s">
        <v>776</v>
      </c>
      <c r="H316" s="64">
        <v>0.36</v>
      </c>
      <c r="I316" s="64">
        <v>0.33</v>
      </c>
      <c r="J316" s="64">
        <v>0.33</v>
      </c>
      <c r="K316" s="71">
        <v>0.217929347821054</v>
      </c>
      <c r="L316" s="65">
        <v>3052.3</v>
      </c>
      <c r="M316" s="65">
        <v>3052.3</v>
      </c>
      <c r="N316" s="13">
        <v>2655</v>
      </c>
      <c r="O316" s="13">
        <v>2329</v>
      </c>
      <c r="P316" s="30" t="s">
        <v>4</v>
      </c>
      <c r="Q316" s="13">
        <v>2655</v>
      </c>
      <c r="R316" s="13">
        <v>2329</v>
      </c>
      <c r="S316" s="23">
        <v>2492</v>
      </c>
      <c r="T316" s="41"/>
      <c r="U316" s="13">
        <v>3000</v>
      </c>
      <c r="V316" s="13">
        <v>3000</v>
      </c>
      <c r="W316" s="24">
        <v>3000</v>
      </c>
      <c r="X316" s="58" t="str">
        <f>HYPERLINK("http://drinc.ca.gov/DNN/Portals/0/SelfCert/0c8310ef-a34f-463b-b3ac-8f1eca6bce05.xlsx","WS1")</f>
        <v>WS1</v>
      </c>
      <c r="Y316" s="10" t="s">
        <v>179</v>
      </c>
      <c r="Z316" s="26" t="s">
        <v>13</v>
      </c>
      <c r="AA316" s="13">
        <v>-508</v>
      </c>
      <c r="AB316" s="66">
        <v>0</v>
      </c>
      <c r="AC316" s="30" t="s">
        <v>14</v>
      </c>
      <c r="AD316" s="29"/>
      <c r="AE316" s="32"/>
      <c r="AF316" s="32"/>
      <c r="AG316" s="17"/>
      <c r="AH316" s="27"/>
      <c r="AI316" s="27"/>
      <c r="AJ316" s="11"/>
      <c r="AK316" s="58" t="str">
        <f>HYPERLINK("http://drinc.ca.gov/DNN/Portals/0/SelfCert/f9e4fbb9-f2b6-46b1-bc60-50d647fbbb3e.pdf","Cert")</f>
        <v>Cert</v>
      </c>
      <c r="AL316" s="58" t="str">
        <f>HYPERLINK("http://drinc.ca.gov/DNN/Portals/0/SelfCert/640365c1-5c93-45bf-be6c-925abad7e32e.xlsx","Analysis")</f>
        <v>Analysis</v>
      </c>
    </row>
    <row r="317" spans="1:38" s="19" customFormat="1" ht="14.4" customHeight="1" x14ac:dyDescent="0.3">
      <c r="A317" s="12" t="s">
        <v>112</v>
      </c>
      <c r="B317" s="68" t="s">
        <v>16</v>
      </c>
      <c r="C317" s="73">
        <v>89640.166666666672</v>
      </c>
      <c r="D317" s="14">
        <v>11621.5</v>
      </c>
      <c r="E317" s="14">
        <v>10907</v>
      </c>
      <c r="F317" s="18">
        <v>0</v>
      </c>
      <c r="G317" s="68" t="s">
        <v>830</v>
      </c>
      <c r="H317" s="64">
        <v>0.2</v>
      </c>
      <c r="I317" s="64">
        <v>0.12</v>
      </c>
      <c r="J317" s="64">
        <v>0.26</v>
      </c>
      <c r="K317" s="71">
        <v>0.23624540087276458</v>
      </c>
      <c r="L317" s="65">
        <v>11623.7</v>
      </c>
      <c r="M317" s="65">
        <v>11623.7</v>
      </c>
      <c r="N317" s="13">
        <v>11614</v>
      </c>
      <c r="O317" s="13">
        <v>11629</v>
      </c>
      <c r="P317" s="30" t="s">
        <v>4</v>
      </c>
      <c r="Q317" s="13">
        <v>11614</v>
      </c>
      <c r="R317" s="13">
        <v>11629</v>
      </c>
      <c r="S317" s="35">
        <v>11621.5</v>
      </c>
      <c r="T317" s="41"/>
      <c r="U317" s="13">
        <v>10856</v>
      </c>
      <c r="V317" s="13">
        <v>10782</v>
      </c>
      <c r="W317" s="24">
        <v>10907</v>
      </c>
      <c r="X317" s="58" t="str">
        <f>HYPERLINK("https://drinc.ca.gov/DNN/Portals/0/SelfCert/90ee28f7-5e4e-4a84-b0d2-1aa7e7dae748.xlsx","WS1")</f>
        <v>WS1</v>
      </c>
      <c r="Y317" s="10"/>
      <c r="Z317" s="52" t="s">
        <v>31</v>
      </c>
      <c r="AA317" s="32">
        <v>714.5</v>
      </c>
      <c r="AB317" s="33">
        <v>0.06</v>
      </c>
      <c r="AC317" s="16"/>
      <c r="AD317" s="11"/>
      <c r="AE317" s="65"/>
      <c r="AF317" s="65"/>
      <c r="AG317" s="15">
        <v>0</v>
      </c>
      <c r="AH317" s="38" t="s">
        <v>777</v>
      </c>
      <c r="AI317" s="37" t="str">
        <f>HYPERLINK("http://drinc.ca.gov/DNN/Portals/0/SelfCert/dfd724de-f543-4896-8cc4-e778ead3f440.pdf","Legal")</f>
        <v>Legal</v>
      </c>
      <c r="AJ317" s="10" t="s">
        <v>113</v>
      </c>
      <c r="AK317" s="58" t="str">
        <f>HYPERLINK("https://drinc.ca.gov/DNN/Portals/0/SelfCert/18fdd8d5-ea1c-48ee-a0e1-03390c87318a.pdf","Cert")</f>
        <v>Cert</v>
      </c>
      <c r="AL317" s="58" t="str">
        <f>HYPERLINK("https://drinc.ca.gov/DNN/Portals/0/SelfCert/cd374350-153c-4871-b464-dd0d433e7881.docx","Analysis")</f>
        <v>Analysis</v>
      </c>
    </row>
    <row r="318" spans="1:38" s="19" customFormat="1" ht="14.4" customHeight="1" x14ac:dyDescent="0.3">
      <c r="A318" s="12" t="s">
        <v>374</v>
      </c>
      <c r="B318" s="68" t="s">
        <v>40</v>
      </c>
      <c r="C318" s="73">
        <v>21532</v>
      </c>
      <c r="D318" s="14">
        <v>2361.1999999999998</v>
      </c>
      <c r="E318" s="14">
        <v>2362.1</v>
      </c>
      <c r="F318" s="18">
        <v>0</v>
      </c>
      <c r="G318" s="68" t="s">
        <v>776</v>
      </c>
      <c r="H318" s="64">
        <v>0.16</v>
      </c>
      <c r="I318" s="64">
        <v>0.16</v>
      </c>
      <c r="J318" s="64">
        <v>0.22</v>
      </c>
      <c r="K318" s="71">
        <v>0.17649577024373442</v>
      </c>
      <c r="L318" s="65">
        <v>2624.3</v>
      </c>
      <c r="M318" s="65">
        <v>2624.3</v>
      </c>
      <c r="N318" s="13">
        <v>798.2</v>
      </c>
      <c r="O318" s="13">
        <v>740.6</v>
      </c>
      <c r="P318" s="30" t="s">
        <v>5</v>
      </c>
      <c r="Q318" s="13">
        <v>2449.6</v>
      </c>
      <c r="R318" s="13">
        <v>2272.8000000000002</v>
      </c>
      <c r="S318" s="23">
        <v>2361.1999999999998</v>
      </c>
      <c r="T318" s="41"/>
      <c r="U318" s="13">
        <v>2362.1</v>
      </c>
      <c r="V318" s="13">
        <v>2362.1</v>
      </c>
      <c r="W318" s="24">
        <v>2362.1</v>
      </c>
      <c r="X318" s="58" t="str">
        <f>HYPERLINK("http://drinc.ca.gov/DNN/Portals/0/SelfCert/4fa1769f-4e46-4a81-a056-42651cbf8698.xlsx","WS1")</f>
        <v>WS1</v>
      </c>
      <c r="Y318" s="10" t="s">
        <v>375</v>
      </c>
      <c r="Z318" s="26" t="s">
        <v>13</v>
      </c>
      <c r="AA318" s="13">
        <v>-0.9</v>
      </c>
      <c r="AB318" s="15">
        <v>0</v>
      </c>
      <c r="AC318" s="30" t="s">
        <v>14</v>
      </c>
      <c r="AD318" s="29" t="s">
        <v>376</v>
      </c>
      <c r="AE318" s="32"/>
      <c r="AF318" s="32"/>
      <c r="AG318" s="17"/>
      <c r="AH318" s="27"/>
      <c r="AI318" s="27"/>
      <c r="AJ318" s="11"/>
      <c r="AK318" s="58" t="str">
        <f>HYPERLINK("http://drinc.ca.gov/DNN/Portals/0/SelfCert/70b84f0a-a8a3-419d-867f-2d7155102b98.pdf","Cert")</f>
        <v>Cert</v>
      </c>
      <c r="AL318" s="58" t="str">
        <f>HYPERLINK("http://drinc.ca.gov/DNN/Portals/0/SelfCert/c1d3b1aa-f3b3-485e-a99f-e3f2ba707159.xlsx","Analysis")</f>
        <v>Analysis</v>
      </c>
    </row>
    <row r="319" spans="1:38" s="19" customFormat="1" ht="14.4" customHeight="1" x14ac:dyDescent="0.3">
      <c r="A319" s="12" t="s">
        <v>475</v>
      </c>
      <c r="B319" s="68" t="s">
        <v>27</v>
      </c>
      <c r="C319" s="73">
        <v>3400</v>
      </c>
      <c r="D319" s="14">
        <v>435.4</v>
      </c>
      <c r="E319" s="14">
        <v>560.1</v>
      </c>
      <c r="F319" s="18">
        <v>0</v>
      </c>
      <c r="G319" s="68" t="s">
        <v>776</v>
      </c>
      <c r="H319" s="64">
        <v>0.24</v>
      </c>
      <c r="I319" s="64">
        <v>0.21</v>
      </c>
      <c r="J319" s="64">
        <v>0.26</v>
      </c>
      <c r="K319" s="71">
        <v>0.28127984718242593</v>
      </c>
      <c r="L319" s="65">
        <v>490.4</v>
      </c>
      <c r="M319" s="65">
        <v>490.4</v>
      </c>
      <c r="N319" s="13">
        <v>159.30000000000001</v>
      </c>
      <c r="O319" s="13">
        <v>124.4</v>
      </c>
      <c r="P319" s="30" t="s">
        <v>5</v>
      </c>
      <c r="Q319" s="13">
        <v>488.9</v>
      </c>
      <c r="R319" s="13">
        <v>381.9</v>
      </c>
      <c r="S319" s="23">
        <v>435.4</v>
      </c>
      <c r="T319" s="41"/>
      <c r="U319" s="13">
        <v>560.07000000000005</v>
      </c>
      <c r="V319" s="13">
        <v>560.1</v>
      </c>
      <c r="W319" s="24">
        <v>560.1</v>
      </c>
      <c r="X319" s="58" t="str">
        <f>HYPERLINK("https://drinc.ca.gov/DNN/Portals/0/SelfCert/a473427a-fd75-41cd-bd02-13adca6e0f0c.xlsx","WS1")</f>
        <v>WS1</v>
      </c>
      <c r="Y319" s="10"/>
      <c r="Z319" s="26" t="s">
        <v>13</v>
      </c>
      <c r="AA319" s="13">
        <v>-124.7</v>
      </c>
      <c r="AB319" s="66">
        <v>0</v>
      </c>
      <c r="AC319" s="30" t="s">
        <v>18</v>
      </c>
      <c r="AD319" s="29" t="s">
        <v>476</v>
      </c>
      <c r="AE319" s="32"/>
      <c r="AF319" s="32"/>
      <c r="AG319" s="17"/>
      <c r="AH319" s="27"/>
      <c r="AI319" s="27"/>
      <c r="AJ319" s="11"/>
      <c r="AK319" s="58" t="str">
        <f>HYPERLINK("https://drinc.ca.gov/DNN/Portals/0/SelfCert/6a5a1906-e042-4f11-8bb9-dabd951a09d7.pdf","Cert")</f>
        <v>Cert</v>
      </c>
      <c r="AL319" s="58" t="str">
        <f>HYPERLINK("https://drinc.ca.gov/DNN/Portals/0/SelfCert/304c9f05-787a-4878-8ef8-2a33dd586a6b.docx","Analysis")</f>
        <v>Analysis</v>
      </c>
    </row>
    <row r="320" spans="1:38" s="19" customFormat="1" ht="14.4" customHeight="1" x14ac:dyDescent="0.3">
      <c r="A320" s="12" t="s">
        <v>638</v>
      </c>
      <c r="B320" s="68" t="s">
        <v>16</v>
      </c>
      <c r="C320" s="73">
        <v>55379.5</v>
      </c>
      <c r="D320" s="14">
        <v>6574.9</v>
      </c>
      <c r="E320" s="14">
        <v>6580.2</v>
      </c>
      <c r="F320" s="18">
        <v>0</v>
      </c>
      <c r="G320" s="68" t="s">
        <v>776</v>
      </c>
      <c r="H320" s="64">
        <v>0.12</v>
      </c>
      <c r="I320" s="64">
        <v>0.08</v>
      </c>
      <c r="J320" s="64">
        <v>0.13</v>
      </c>
      <c r="K320" s="71">
        <v>2.9914390275781022E-2</v>
      </c>
      <c r="L320" s="65">
        <v>6528.1</v>
      </c>
      <c r="M320" s="65">
        <v>6528.1</v>
      </c>
      <c r="N320" s="13">
        <v>6528.1</v>
      </c>
      <c r="O320" s="13">
        <v>6621.7</v>
      </c>
      <c r="P320" s="30" t="s">
        <v>4</v>
      </c>
      <c r="Q320" s="13">
        <v>6528.1</v>
      </c>
      <c r="R320" s="13">
        <v>6621.7</v>
      </c>
      <c r="S320" s="23">
        <v>6574.9</v>
      </c>
      <c r="T320" s="41"/>
      <c r="U320" s="13">
        <v>6580.2</v>
      </c>
      <c r="V320" s="13">
        <v>6580.2</v>
      </c>
      <c r="W320" s="24">
        <v>6580.2</v>
      </c>
      <c r="X320" s="58" t="str">
        <f>HYPERLINK("https://drinc.ca.gov/DNN/Portals/0/SelfCert/bc6659bc-7fb1-482d-ba3d-ed88a0c1eaa8.xlsx","WS1")</f>
        <v>WS1</v>
      </c>
      <c r="Y320" s="10"/>
      <c r="Z320" s="26" t="s">
        <v>13</v>
      </c>
      <c r="AA320" s="13">
        <v>-5.3</v>
      </c>
      <c r="AB320" s="15">
        <v>0</v>
      </c>
      <c r="AC320" s="30"/>
      <c r="AD320" s="29"/>
      <c r="AE320" s="32"/>
      <c r="AF320" s="32"/>
      <c r="AG320" s="17"/>
      <c r="AH320" s="27"/>
      <c r="AI320" s="27"/>
      <c r="AJ320" s="11"/>
      <c r="AK320" s="58" t="str">
        <f>HYPERLINK("https://drinc.ca.gov/DNN/Portals/0/SelfCert/19baf7b7-a60d-47bd-9452-c9a613bb0f5e.pdf","Cert")</f>
        <v>Cert</v>
      </c>
      <c r="AL320" s="58" t="str">
        <f>HYPERLINK("https://drinc.ca.gov/DNN/Portals/0/SelfCert/7100a70b-38c3-4a6d-894d-90a0ea0da2f9.docx","Analysis")</f>
        <v>Analysis</v>
      </c>
    </row>
    <row r="321" spans="1:38" s="19" customFormat="1" ht="14.4" customHeight="1" x14ac:dyDescent="0.3">
      <c r="A321" s="12" t="s">
        <v>599</v>
      </c>
      <c r="B321" s="68" t="s">
        <v>16</v>
      </c>
      <c r="C321" s="73">
        <v>166420.16666666666</v>
      </c>
      <c r="D321" s="14">
        <v>32678</v>
      </c>
      <c r="E321" s="14">
        <v>32678</v>
      </c>
      <c r="F321" s="18">
        <v>0</v>
      </c>
      <c r="G321" s="68" t="s">
        <v>776</v>
      </c>
      <c r="H321" s="64">
        <v>0.28000000000000003</v>
      </c>
      <c r="I321" s="64">
        <v>0.26</v>
      </c>
      <c r="J321" s="64">
        <v>0.23</v>
      </c>
      <c r="K321" s="71">
        <v>0.226052810586853</v>
      </c>
      <c r="L321" s="65">
        <v>33555.9</v>
      </c>
      <c r="M321" s="65">
        <v>33555.9</v>
      </c>
      <c r="N321" s="13">
        <v>33124</v>
      </c>
      <c r="O321" s="13">
        <v>32232</v>
      </c>
      <c r="P321" s="30" t="s">
        <v>4</v>
      </c>
      <c r="Q321" s="13">
        <v>33124</v>
      </c>
      <c r="R321" s="13">
        <v>32232</v>
      </c>
      <c r="S321" s="23">
        <v>32678</v>
      </c>
      <c r="T321" s="41"/>
      <c r="U321" s="13">
        <v>32678</v>
      </c>
      <c r="V321" s="13">
        <v>32678</v>
      </c>
      <c r="W321" s="24">
        <v>32678</v>
      </c>
      <c r="X321" s="58" t="str">
        <f>HYPERLINK("http://drinc.ca.gov/DNN/Portals/0/SelfCert/01f3a66b-df6d-4f26-b616-515dc51323b9.xlsx","WS1")</f>
        <v>WS1</v>
      </c>
      <c r="Y321" s="10"/>
      <c r="Z321" s="26" t="s">
        <v>13</v>
      </c>
      <c r="AA321" s="13">
        <v>0</v>
      </c>
      <c r="AB321" s="15">
        <v>0</v>
      </c>
      <c r="AC321" s="30" t="s">
        <v>18</v>
      </c>
      <c r="AD321" s="29" t="s">
        <v>600</v>
      </c>
      <c r="AE321" s="32"/>
      <c r="AF321" s="32"/>
      <c r="AG321" s="17"/>
      <c r="AH321" s="27"/>
      <c r="AI321" s="27"/>
      <c r="AJ321" s="11"/>
      <c r="AK321" s="58" t="str">
        <f>HYPERLINK("http://drinc.ca.gov/DNN/Portals/0/SelfCert/8f1f3862-d2ec-4e96-9377-c8740d682216.pdf","Cert")</f>
        <v>Cert</v>
      </c>
      <c r="AL321" s="58" t="str">
        <f>HYPERLINK("http://drinc.ca.gov/DNN/Portals/0/SelfCert/8f4d8d1b-1e37-4673-a8fb-4916a608663f.xlsx","Analysis")</f>
        <v>Analysis</v>
      </c>
    </row>
    <row r="322" spans="1:38" s="19" customFormat="1" ht="14.4" customHeight="1" x14ac:dyDescent="0.3">
      <c r="A322" s="12" t="s">
        <v>334</v>
      </c>
      <c r="B322" s="68" t="s">
        <v>16</v>
      </c>
      <c r="C322" s="73">
        <v>112.83333333333333</v>
      </c>
      <c r="D322" s="14">
        <v>7763.5</v>
      </c>
      <c r="E322" s="14">
        <v>8200</v>
      </c>
      <c r="F322" s="18">
        <v>0</v>
      </c>
      <c r="G322" s="68" t="s">
        <v>776</v>
      </c>
      <c r="H322" s="64">
        <v>0.08</v>
      </c>
      <c r="I322" s="64">
        <v>0.08</v>
      </c>
      <c r="J322" s="64">
        <v>0.11</v>
      </c>
      <c r="K322" s="72">
        <v>-9.7990140310959539E-3</v>
      </c>
      <c r="L322" s="65">
        <v>8008.6</v>
      </c>
      <c r="M322" s="65">
        <v>8008.6</v>
      </c>
      <c r="N322" s="13">
        <v>7981</v>
      </c>
      <c r="O322" s="13">
        <v>7546</v>
      </c>
      <c r="P322" s="30" t="s">
        <v>4</v>
      </c>
      <c r="Q322" s="13">
        <v>7981</v>
      </c>
      <c r="R322" s="13">
        <v>7546</v>
      </c>
      <c r="S322" s="23">
        <v>7763.5</v>
      </c>
      <c r="T322" s="41"/>
      <c r="U322" s="13">
        <v>8100</v>
      </c>
      <c r="V322" s="13">
        <v>8200</v>
      </c>
      <c r="W322" s="24">
        <v>8200</v>
      </c>
      <c r="X322" s="58" t="str">
        <f>HYPERLINK("http://drinc.ca.gov/DNN/Portals/0/SelfCert/9ccd7b58-293b-40ac-9866-600c49308723.xlsx","WS1")</f>
        <v>WS1</v>
      </c>
      <c r="Y322" s="10"/>
      <c r="Z322" s="26" t="s">
        <v>13</v>
      </c>
      <c r="AA322" s="13">
        <v>-436.5</v>
      </c>
      <c r="AB322" s="66">
        <v>0</v>
      </c>
      <c r="AC322" s="30" t="s">
        <v>14</v>
      </c>
      <c r="AD322" s="29"/>
      <c r="AE322" s="32">
        <v>7600</v>
      </c>
      <c r="AF322" s="32">
        <v>8200</v>
      </c>
      <c r="AG322" s="17"/>
      <c r="AH322" s="27"/>
      <c r="AI322" s="27" t="str">
        <f>HYPERLINK("http://drinc.ca.gov/DNN/Portals/0/SelfCert/c9cea317-d107-4548-bf4f-fdefc91d33cb.pdf","Legal")</f>
        <v>Legal</v>
      </c>
      <c r="AJ322" s="11"/>
      <c r="AK322" s="58" t="str">
        <f>HYPERLINK("http://drinc.ca.gov/DNN/Portals/0/SelfCert/68ee8d08-728c-47d3-9182-d57fbf7ac95b.pdf","Cert")</f>
        <v>Cert</v>
      </c>
      <c r="AL322" s="58" t="str">
        <f>HYPERLINK("http://drinc.ca.gov/DNN/Portals/0/SelfCert/c9088079-8cf8-489a-ba2f-59ed56a599c8.xlsx","Analysis")</f>
        <v>Analysis</v>
      </c>
    </row>
    <row r="323" spans="1:38" s="19" customFormat="1" ht="14.4" customHeight="1" x14ac:dyDescent="0.3">
      <c r="A323" s="12" t="s">
        <v>567</v>
      </c>
      <c r="B323" s="68" t="s">
        <v>16</v>
      </c>
      <c r="C323" s="73">
        <v>25284</v>
      </c>
      <c r="D323" s="14">
        <v>3231.2</v>
      </c>
      <c r="E323" s="14">
        <v>3231.2</v>
      </c>
      <c r="F323" s="18">
        <v>0</v>
      </c>
      <c r="G323" s="68" t="s">
        <v>776</v>
      </c>
      <c r="H323" s="64">
        <v>0.24</v>
      </c>
      <c r="I323" s="64">
        <v>0.18</v>
      </c>
      <c r="J323" s="64">
        <v>0.2</v>
      </c>
      <c r="K323" s="71">
        <v>0.19100728620733731</v>
      </c>
      <c r="L323" s="65">
        <v>3309</v>
      </c>
      <c r="M323" s="65">
        <v>3309</v>
      </c>
      <c r="N323" s="13">
        <v>3309</v>
      </c>
      <c r="O323" s="13">
        <v>3153.4</v>
      </c>
      <c r="P323" s="30" t="s">
        <v>4</v>
      </c>
      <c r="Q323" s="13">
        <v>3309</v>
      </c>
      <c r="R323" s="13">
        <v>3153.4</v>
      </c>
      <c r="S323" s="23">
        <v>3231.2</v>
      </c>
      <c r="T323" s="41"/>
      <c r="U323" s="13">
        <v>3240.25</v>
      </c>
      <c r="V323" s="13">
        <v>3231.2</v>
      </c>
      <c r="W323" s="24">
        <v>3231.2</v>
      </c>
      <c r="X323" s="58" t="str">
        <f>HYPERLINK("http://drinc.ca.gov/DNN/Portals/0/SelfCert/64721f93-673b-4709-b77f-889163a0f7c8.xlsx","WS1")</f>
        <v>WS1</v>
      </c>
      <c r="Y323" s="10"/>
      <c r="Z323" s="26" t="s">
        <v>13</v>
      </c>
      <c r="AA323" s="13">
        <v>0</v>
      </c>
      <c r="AB323" s="15">
        <v>0</v>
      </c>
      <c r="AC323" s="30" t="s">
        <v>14</v>
      </c>
      <c r="AD323" s="29"/>
      <c r="AE323" s="32"/>
      <c r="AF323" s="32"/>
      <c r="AG323" s="17"/>
      <c r="AH323" s="27"/>
      <c r="AI323" s="27"/>
      <c r="AJ323" s="11"/>
      <c r="AK323" s="58" t="str">
        <f>HYPERLINK("http://drinc.ca.gov/DNN/Portals/0/SelfCert/3af7887c-b904-41b7-ba7e-704b97dea9cb.pdf","Cert")</f>
        <v>Cert</v>
      </c>
      <c r="AL323" s="58" t="str">
        <f>HYPERLINK("http://drinc.ca.gov/DNN/Portals/0/SelfCert/cc5d38d2-0d26-4fe8-b32c-93c406d0136d.docx","Analysis")</f>
        <v>Analysis</v>
      </c>
    </row>
    <row r="324" spans="1:38" s="19" customFormat="1" ht="14.4" customHeight="1" x14ac:dyDescent="0.3">
      <c r="A324" s="12" t="s">
        <v>629</v>
      </c>
      <c r="B324" s="68" t="s">
        <v>40</v>
      </c>
      <c r="C324" s="73">
        <v>64403</v>
      </c>
      <c r="D324" s="14">
        <v>12296.5</v>
      </c>
      <c r="E324" s="14">
        <v>12295</v>
      </c>
      <c r="F324" s="18">
        <v>0</v>
      </c>
      <c r="G324" s="68" t="s">
        <v>776</v>
      </c>
      <c r="H324" s="64">
        <v>0.24</v>
      </c>
      <c r="I324" s="64">
        <v>0.24</v>
      </c>
      <c r="J324" s="64">
        <v>0.32</v>
      </c>
      <c r="K324" s="71">
        <v>0.17888149038724621</v>
      </c>
      <c r="L324" s="65">
        <v>13404.3</v>
      </c>
      <c r="M324" s="65">
        <v>13404.3</v>
      </c>
      <c r="N324" s="13">
        <v>13063</v>
      </c>
      <c r="O324" s="13">
        <v>11530</v>
      </c>
      <c r="P324" s="30" t="s">
        <v>4</v>
      </c>
      <c r="Q324" s="13">
        <v>13063</v>
      </c>
      <c r="R324" s="13">
        <v>11530</v>
      </c>
      <c r="S324" s="23">
        <v>12296.5</v>
      </c>
      <c r="T324" s="41"/>
      <c r="U324" s="13">
        <v>12295</v>
      </c>
      <c r="V324" s="13">
        <v>12295</v>
      </c>
      <c r="W324" s="24">
        <v>12295</v>
      </c>
      <c r="X324" s="58" t="str">
        <f>HYPERLINK("http://drinc.ca.gov/DNN/Portals/0/SelfCert/e6fc72ae-920c-4600-8ff7-d68b949bdea4.xlsx","WS1")</f>
        <v>WS1</v>
      </c>
      <c r="Y324" s="10"/>
      <c r="Z324" s="26" t="s">
        <v>13</v>
      </c>
      <c r="AA324" s="13">
        <v>1.5</v>
      </c>
      <c r="AB324" s="15">
        <v>0</v>
      </c>
      <c r="AC324" s="30" t="s">
        <v>18</v>
      </c>
      <c r="AD324" s="29" t="s">
        <v>630</v>
      </c>
      <c r="AE324" s="32"/>
      <c r="AF324" s="32"/>
      <c r="AG324" s="17"/>
      <c r="AH324" s="27"/>
      <c r="AI324" s="27"/>
      <c r="AJ324" s="11"/>
      <c r="AK324" s="58" t="str">
        <f>HYPERLINK("http://drinc.ca.gov/DNN/Portals/0/SelfCert/1111ce53-de4f-4cca-ad8d-160fd5ec1bc1.pdf","Cert")</f>
        <v>Cert</v>
      </c>
      <c r="AL324" s="58" t="str">
        <f>HYPERLINK("http://drinc.ca.gov/DNN/Portals/0/SelfCert/b1a219c1-3c88-404c-9b32-341bda32b962.docx","Analysis")</f>
        <v>Analysis</v>
      </c>
    </row>
    <row r="325" spans="1:38" s="19" customFormat="1" ht="14.4" customHeight="1" x14ac:dyDescent="0.3">
      <c r="A325" s="12" t="s">
        <v>234</v>
      </c>
      <c r="B325" s="68" t="s">
        <v>16</v>
      </c>
      <c r="C325" s="73">
        <v>54140.25</v>
      </c>
      <c r="D325" s="14">
        <v>10276.6</v>
      </c>
      <c r="E325" s="14">
        <v>11400</v>
      </c>
      <c r="F325" s="18">
        <v>0</v>
      </c>
      <c r="G325" s="68" t="s">
        <v>776</v>
      </c>
      <c r="H325" s="64">
        <v>0.28000000000000003</v>
      </c>
      <c r="I325" s="64">
        <v>0.26</v>
      </c>
      <c r="J325" s="64">
        <v>0.21</v>
      </c>
      <c r="K325" s="71">
        <v>0.15989382853896694</v>
      </c>
      <c r="L325" s="65">
        <v>10353</v>
      </c>
      <c r="M325" s="65">
        <v>10353</v>
      </c>
      <c r="N325" s="13">
        <v>10353</v>
      </c>
      <c r="O325" s="13">
        <v>10200.200000000001</v>
      </c>
      <c r="P325" s="30" t="s">
        <v>4</v>
      </c>
      <c r="Q325" s="13">
        <v>10353</v>
      </c>
      <c r="R325" s="13">
        <v>10200.200000000001</v>
      </c>
      <c r="S325" s="34">
        <v>10276.6</v>
      </c>
      <c r="T325" s="41"/>
      <c r="U325" s="13">
        <v>11400</v>
      </c>
      <c r="V325" s="13">
        <v>11400</v>
      </c>
      <c r="W325" s="24">
        <v>11400</v>
      </c>
      <c r="X325" s="58" t="str">
        <f>HYPERLINK("http://drinc.ca.gov/DNN/Portals/0/SelfCert/b01ce5ea-ac5d-4de1-922b-0ee0bf67a5a7.xlsx","WS1")</f>
        <v>WS1</v>
      </c>
      <c r="Y325" s="10"/>
      <c r="Z325" s="26" t="s">
        <v>13</v>
      </c>
      <c r="AA325" s="31">
        <v>-1123.4000000000001</v>
      </c>
      <c r="AB325" s="66">
        <v>0</v>
      </c>
      <c r="AC325" s="30" t="s">
        <v>18</v>
      </c>
      <c r="AD325" s="29" t="s">
        <v>235</v>
      </c>
      <c r="AE325" s="32"/>
      <c r="AF325" s="32"/>
      <c r="AG325" s="17"/>
      <c r="AH325" s="36"/>
      <c r="AI325" s="36"/>
      <c r="AJ325" s="11"/>
      <c r="AK325" s="58" t="str">
        <f>HYPERLINK("http://drinc.ca.gov/DNN/Portals/0/SelfCert/e32d7471-d5c4-46ac-9bcb-6e315b2c48f3.pdf","Cert")</f>
        <v>Cert</v>
      </c>
      <c r="AL325" s="58" t="str">
        <f>HYPERLINK("http://drinc.ca.gov/DNN/Portals/0/SelfCert/991359b9-4530-4564-9d5b-5df2fcb9050b.xlsx","Analysis")</f>
        <v>Analysis</v>
      </c>
    </row>
    <row r="326" spans="1:38" s="19" customFormat="1" ht="14.4" customHeight="1" x14ac:dyDescent="0.3">
      <c r="A326" s="12" t="s">
        <v>715</v>
      </c>
      <c r="B326" s="68" t="s">
        <v>16</v>
      </c>
      <c r="C326" s="73">
        <v>30009</v>
      </c>
      <c r="D326" s="14">
        <v>4823</v>
      </c>
      <c r="E326" s="14">
        <v>5988</v>
      </c>
      <c r="F326" s="18">
        <v>0</v>
      </c>
      <c r="G326" s="68" t="s">
        <v>776</v>
      </c>
      <c r="H326" s="64">
        <v>0.28000000000000003</v>
      </c>
      <c r="I326" s="64">
        <v>0.26</v>
      </c>
      <c r="J326" s="64">
        <v>0.25</v>
      </c>
      <c r="K326" s="71">
        <v>0.24225515117696894</v>
      </c>
      <c r="L326" s="65">
        <v>4998.5</v>
      </c>
      <c r="M326" s="65">
        <v>4998.5</v>
      </c>
      <c r="N326" s="13">
        <v>4998</v>
      </c>
      <c r="O326" s="13">
        <v>4648</v>
      </c>
      <c r="P326" s="30" t="s">
        <v>4</v>
      </c>
      <c r="Q326" s="13">
        <v>4998</v>
      </c>
      <c r="R326" s="13">
        <v>4648</v>
      </c>
      <c r="S326" s="23">
        <v>4823</v>
      </c>
      <c r="T326" s="41"/>
      <c r="U326" s="13">
        <v>5988</v>
      </c>
      <c r="V326" s="13">
        <v>5988</v>
      </c>
      <c r="W326" s="24">
        <v>5988</v>
      </c>
      <c r="X326" s="58" t="str">
        <f>HYPERLINK("http://drinc.ca.gov/DNN/Portals/0/SelfCert/554d88db-98ff-4e83-a709-54b92c6800cc.xlsx","WS1")</f>
        <v>WS1</v>
      </c>
      <c r="Y326" s="10" t="s">
        <v>716</v>
      </c>
      <c r="Z326" s="26" t="s">
        <v>13</v>
      </c>
      <c r="AA326" s="13">
        <v>-1165</v>
      </c>
      <c r="AB326" s="66">
        <v>0</v>
      </c>
      <c r="AC326" s="30" t="s">
        <v>18</v>
      </c>
      <c r="AD326" s="29" t="s">
        <v>717</v>
      </c>
      <c r="AE326" s="32"/>
      <c r="AF326" s="32"/>
      <c r="AG326" s="17"/>
      <c r="AH326" s="27"/>
      <c r="AI326" s="27"/>
      <c r="AJ326" s="11"/>
      <c r="AK326" s="58" t="str">
        <f>HYPERLINK("http://drinc.ca.gov/DNN/Portals/0/SelfCert/918d2d66-0e96-429b-9313-61be5a21216c.pdf","Cert")</f>
        <v>Cert</v>
      </c>
      <c r="AL326" s="58" t="str">
        <f>HYPERLINK("http://drinc.ca.gov/DNN/Portals/0/SelfCert/044115fe-8f66-4d76-9b82-a2f8439f37c3.pdf","Analysis")</f>
        <v>Analysis</v>
      </c>
    </row>
    <row r="327" spans="1:38" s="19" customFormat="1" ht="14.4" customHeight="1" x14ac:dyDescent="0.3">
      <c r="A327" s="12" t="s">
        <v>104</v>
      </c>
      <c r="B327" s="68" t="s">
        <v>16</v>
      </c>
      <c r="C327" s="73">
        <v>25990.666666666668</v>
      </c>
      <c r="D327" s="14">
        <v>4458</v>
      </c>
      <c r="E327" s="14">
        <v>5025</v>
      </c>
      <c r="F327" s="18">
        <v>0</v>
      </c>
      <c r="G327" s="68" t="s">
        <v>776</v>
      </c>
      <c r="H327" s="64">
        <v>0.28000000000000003</v>
      </c>
      <c r="I327" s="64">
        <v>0.26</v>
      </c>
      <c r="J327" s="64">
        <v>0.28000000000000003</v>
      </c>
      <c r="K327" s="71">
        <v>0.27867298578199051</v>
      </c>
      <c r="L327" s="65">
        <v>4574.6000000000004</v>
      </c>
      <c r="M327" s="65">
        <v>4574.6000000000004</v>
      </c>
      <c r="N327" s="13">
        <v>4574</v>
      </c>
      <c r="O327" s="13">
        <v>4342</v>
      </c>
      <c r="P327" s="30" t="s">
        <v>4</v>
      </c>
      <c r="Q327" s="13">
        <v>4574</v>
      </c>
      <c r="R327" s="13">
        <v>4342</v>
      </c>
      <c r="S327" s="35">
        <v>4458</v>
      </c>
      <c r="T327" s="41"/>
      <c r="U327" s="13">
        <v>5025</v>
      </c>
      <c r="V327" s="13">
        <v>5025</v>
      </c>
      <c r="W327" s="24">
        <v>5025</v>
      </c>
      <c r="X327" s="58" t="str">
        <f>HYPERLINK("http://drinc.ca.gov/DNN/Portals/0/SelfCert/dafabc08-bb79-47d0-8fda-df20907e2265.xlsx","WS1")</f>
        <v>WS1</v>
      </c>
      <c r="Y327" s="10"/>
      <c r="Z327" s="26" t="s">
        <v>13</v>
      </c>
      <c r="AA327" s="45">
        <v>-567</v>
      </c>
      <c r="AB327" s="77">
        <v>0</v>
      </c>
      <c r="AC327" s="78" t="s">
        <v>14</v>
      </c>
      <c r="AD327" s="76"/>
      <c r="AE327" s="32">
        <v>4458</v>
      </c>
      <c r="AF327" s="32">
        <v>5025</v>
      </c>
      <c r="AG327" s="47">
        <v>0</v>
      </c>
      <c r="AH327" s="53" t="str">
        <f>HYPERLINK("http://drinc.ca.gov/DNN/Portals/0/SelfCert/9a9014fa-ef11-4be0-85fd-85804e65c702.xlsx","WS2")</f>
        <v>WS2</v>
      </c>
      <c r="AI327" s="53" t="str">
        <f>HYPERLINK("http://drinc.ca.gov/DNN/Portals/0/SelfCert/f1b69dc8-fc52-4160-b071-6558a831702c.pdf","Legal")</f>
        <v>Legal</v>
      </c>
      <c r="AJ327" s="42"/>
      <c r="AK327" s="58" t="str">
        <f>HYPERLINK("http://drinc.ca.gov/DNN/Portals/0/SelfCert/50a14691-cc2f-4220-98b9-628f71e8f5ef.pdf","Cert")</f>
        <v>Cert</v>
      </c>
      <c r="AL327" s="58"/>
    </row>
    <row r="328" spans="1:38" s="19" customFormat="1" ht="14.4" customHeight="1" x14ac:dyDescent="0.3">
      <c r="A328" s="12" t="s">
        <v>409</v>
      </c>
      <c r="B328" s="68" t="s">
        <v>16</v>
      </c>
      <c r="C328" s="73">
        <v>105410.90909090909</v>
      </c>
      <c r="D328" s="14">
        <v>20457</v>
      </c>
      <c r="E328" s="14">
        <v>20457</v>
      </c>
      <c r="F328" s="18">
        <v>0</v>
      </c>
      <c r="G328" s="68" t="s">
        <v>776</v>
      </c>
      <c r="H328" s="64">
        <v>0.2</v>
      </c>
      <c r="I328" s="64">
        <v>0.19</v>
      </c>
      <c r="J328" s="64">
        <v>0.2</v>
      </c>
      <c r="K328" s="71" t="s">
        <v>822</v>
      </c>
      <c r="L328" s="65">
        <v>17635</v>
      </c>
      <c r="M328" s="65">
        <v>17635</v>
      </c>
      <c r="N328" s="13">
        <v>20626</v>
      </c>
      <c r="O328" s="13">
        <v>20288</v>
      </c>
      <c r="P328" s="30" t="s">
        <v>4</v>
      </c>
      <c r="Q328" s="13">
        <v>20626</v>
      </c>
      <c r="R328" s="13">
        <v>20288</v>
      </c>
      <c r="S328" s="23">
        <v>20457</v>
      </c>
      <c r="T328" s="41"/>
      <c r="U328" s="13">
        <v>20457</v>
      </c>
      <c r="V328" s="13">
        <v>20457</v>
      </c>
      <c r="W328" s="24">
        <v>20457</v>
      </c>
      <c r="X328" s="58" t="str">
        <f>HYPERLINK("http://drinc.ca.gov/DNN/Portals/0/SelfCert/881fe12f-deb4-4fc9-b0c7-458aa9176679.xlsx","WS1")</f>
        <v>WS1</v>
      </c>
      <c r="Y328" s="10"/>
      <c r="Z328" s="26" t="s">
        <v>13</v>
      </c>
      <c r="AA328" s="13">
        <v>0</v>
      </c>
      <c r="AB328" s="15">
        <v>0</v>
      </c>
      <c r="AC328" s="30" t="s">
        <v>14</v>
      </c>
      <c r="AD328" s="29"/>
      <c r="AE328" s="32"/>
      <c r="AF328" s="32"/>
      <c r="AG328" s="17"/>
      <c r="AH328" s="27"/>
      <c r="AI328" s="27"/>
      <c r="AJ328" s="11"/>
      <c r="AK328" s="58" t="str">
        <f>HYPERLINK("http://drinc.ca.gov/DNN/Portals/0/SelfCert/e63a4043-5afe-4d83-82f5-734ffad8dca7.pdf","Cert")</f>
        <v>Cert</v>
      </c>
      <c r="AL328" s="58" t="str">
        <f>HYPERLINK("http://drinc.ca.gov/DNN/Portals/0/SelfCert/5d73e30f-83a0-4d27-8c32-7f244651c6f2.xlsx","Analysis")</f>
        <v>Analysis</v>
      </c>
    </row>
    <row r="329" spans="1:38" s="19" customFormat="1" ht="14.4" customHeight="1" x14ac:dyDescent="0.3">
      <c r="A329" s="12" t="s">
        <v>353</v>
      </c>
      <c r="B329" s="68" t="s">
        <v>50</v>
      </c>
      <c r="C329" s="73">
        <v>50836</v>
      </c>
      <c r="D329" s="14">
        <v>13160.5</v>
      </c>
      <c r="E329" s="14">
        <v>13501</v>
      </c>
      <c r="F329" s="18">
        <v>0</v>
      </c>
      <c r="G329" s="68" t="s">
        <v>776</v>
      </c>
      <c r="H329" s="64">
        <v>0.28000000000000003</v>
      </c>
      <c r="I329" s="64">
        <v>0.25</v>
      </c>
      <c r="J329" s="64">
        <v>0.31</v>
      </c>
      <c r="K329" s="71">
        <v>0.23568019093078763</v>
      </c>
      <c r="L329" s="65">
        <v>14833</v>
      </c>
      <c r="M329" s="65">
        <v>14833</v>
      </c>
      <c r="N329" s="13">
        <v>14458</v>
      </c>
      <c r="O329" s="13">
        <v>11863</v>
      </c>
      <c r="P329" s="30" t="s">
        <v>4</v>
      </c>
      <c r="Q329" s="13">
        <v>14458</v>
      </c>
      <c r="R329" s="13">
        <v>11863</v>
      </c>
      <c r="S329" s="23">
        <v>13160.5</v>
      </c>
      <c r="T329" s="41"/>
      <c r="U329" s="13">
        <v>16856</v>
      </c>
      <c r="V329" s="13">
        <v>14805</v>
      </c>
      <c r="W329" s="24">
        <v>13501</v>
      </c>
      <c r="X329" s="58" t="str">
        <f>HYPERLINK("https://drinc.ca.gov/DNN/Portals/0/SelfCert/836a488b-2697-4706-963f-2f055d8fcdf2.xlsx","WS1")</f>
        <v>WS1</v>
      </c>
      <c r="Y329" s="10"/>
      <c r="Z329" s="26" t="s">
        <v>13</v>
      </c>
      <c r="AA329" s="13">
        <v>-340.5</v>
      </c>
      <c r="AB329" s="66">
        <v>0</v>
      </c>
      <c r="AC329" s="30" t="s">
        <v>14</v>
      </c>
      <c r="AD329" s="29"/>
      <c r="AE329" s="32"/>
      <c r="AF329" s="32"/>
      <c r="AG329" s="17"/>
      <c r="AH329" s="27"/>
      <c r="AI329" s="27"/>
      <c r="AJ329" s="11"/>
      <c r="AK329" s="58" t="str">
        <f>HYPERLINK("https://drinc.ca.gov/DNN/Portals/0/SelfCert/85aa0a88-d2b1-4fad-8b8f-d9e8be55f484.pdf","Cert")</f>
        <v>Cert</v>
      </c>
      <c r="AL329" s="58" t="str">
        <f>HYPERLINK("https://drinc.ca.gov/DNN/Portals/0/SelfCert/6d2e6941-25eb-4323-91de-d869ebf28801.docx","Analysis")</f>
        <v>Analysis</v>
      </c>
    </row>
    <row r="330" spans="1:38" s="19" customFormat="1" ht="14.4" customHeight="1" x14ac:dyDescent="0.3">
      <c r="A330" s="12" t="s">
        <v>175</v>
      </c>
      <c r="B330" s="68" t="s">
        <v>16</v>
      </c>
      <c r="C330" s="73">
        <v>34894</v>
      </c>
      <c r="D330" s="14">
        <v>12793</v>
      </c>
      <c r="E330" s="14">
        <v>12793</v>
      </c>
      <c r="F330" s="18">
        <v>0</v>
      </c>
      <c r="G330" s="68" t="s">
        <v>830</v>
      </c>
      <c r="H330" s="64">
        <v>0.36</v>
      </c>
      <c r="I330" s="64">
        <v>0.28000000000000003</v>
      </c>
      <c r="J330" s="64">
        <v>0.23</v>
      </c>
      <c r="K330" s="71">
        <v>0.12191400832177546</v>
      </c>
      <c r="L330" s="65">
        <v>12764.3</v>
      </c>
      <c r="M330" s="65">
        <v>6969</v>
      </c>
      <c r="N330" s="13">
        <v>12764</v>
      </c>
      <c r="O330" s="13">
        <v>12822</v>
      </c>
      <c r="P330" s="30" t="s">
        <v>4</v>
      </c>
      <c r="Q330" s="13">
        <v>12764</v>
      </c>
      <c r="R330" s="13">
        <v>12822</v>
      </c>
      <c r="S330" s="35">
        <v>12793</v>
      </c>
      <c r="T330" s="41"/>
      <c r="U330" s="13">
        <v>12793</v>
      </c>
      <c r="V330" s="13">
        <v>12793</v>
      </c>
      <c r="W330" s="24">
        <v>12793</v>
      </c>
      <c r="X330" s="58" t="str">
        <f>HYPERLINK("http://drinc.ca.gov/DNN/Portals/0/SelfCert/b8fe2476-8959-4fe9-92c0-021cdd026a00.xlsx","WS1")</f>
        <v>WS1</v>
      </c>
      <c r="Y330" s="10"/>
      <c r="Z330" s="52" t="s">
        <v>31</v>
      </c>
      <c r="AA330" s="32">
        <v>0</v>
      </c>
      <c r="AB330" s="33">
        <v>0</v>
      </c>
      <c r="AC330" s="16" t="s">
        <v>14</v>
      </c>
      <c r="AD330" s="11"/>
      <c r="AE330" s="65"/>
      <c r="AF330" s="65"/>
      <c r="AG330" s="15">
        <v>0</v>
      </c>
      <c r="AH330" s="38" t="s">
        <v>777</v>
      </c>
      <c r="AI330" s="37" t="str">
        <f>HYPERLINK("http://drinc.ca.gov/DNN/Portals/0/SelfCert/dfd724de-f543-4896-8cc4-e778ead3f440.pdf","Legal")</f>
        <v>Legal</v>
      </c>
      <c r="AJ330" s="10"/>
      <c r="AK330" s="58" t="str">
        <f>HYPERLINK("http://drinc.ca.gov/DNN/Portals/0/SelfCert/ce16ceaf-56c6-46a4-9d26-32d1c54ea8ed.pdf","Cert")</f>
        <v>Cert</v>
      </c>
      <c r="AL330" s="58" t="str">
        <f>HYPERLINK("http://drinc.ca.gov/DNN/Portals/0/SelfCert/e0c6ab1d-db24-4e02-8630-d68993686859.docx","Analysis")</f>
        <v>Analysis</v>
      </c>
    </row>
    <row r="331" spans="1:38" s="19" customFormat="1" ht="14.4" customHeight="1" x14ac:dyDescent="0.3">
      <c r="A331" s="12" t="s">
        <v>199</v>
      </c>
      <c r="B331" s="68" t="s">
        <v>38</v>
      </c>
      <c r="C331" s="73">
        <v>42245.5</v>
      </c>
      <c r="D331" s="14">
        <v>8216.5</v>
      </c>
      <c r="E331" s="14">
        <v>13459</v>
      </c>
      <c r="F331" s="18">
        <v>0</v>
      </c>
      <c r="G331" s="68" t="s">
        <v>776</v>
      </c>
      <c r="H331" s="64">
        <v>0.28000000000000003</v>
      </c>
      <c r="I331" s="64">
        <v>0.27</v>
      </c>
      <c r="J331" s="64">
        <v>0.35</v>
      </c>
      <c r="K331" s="71">
        <v>0.21284475032551531</v>
      </c>
      <c r="L331" s="65">
        <v>8707.9</v>
      </c>
      <c r="M331" s="65">
        <v>8707.9</v>
      </c>
      <c r="N331" s="13">
        <v>8938</v>
      </c>
      <c r="O331" s="13">
        <v>7495</v>
      </c>
      <c r="P331" s="30" t="s">
        <v>4</v>
      </c>
      <c r="Q331" s="13">
        <v>8938</v>
      </c>
      <c r="R331" s="13">
        <v>7495</v>
      </c>
      <c r="S331" s="23">
        <v>8216.5</v>
      </c>
      <c r="T331" s="41"/>
      <c r="U331" s="13">
        <v>18266</v>
      </c>
      <c r="V331" s="13">
        <v>16344</v>
      </c>
      <c r="W331" s="24">
        <v>13459</v>
      </c>
      <c r="X331" s="58" t="str">
        <f>HYPERLINK("http://drinc.ca.gov/DNN/Portals/0/SelfCert/6a7ced5d-23d9-4b9e-8895-09018929cc3a.xlsx","WS1")</f>
        <v>WS1</v>
      </c>
      <c r="Y331" s="10" t="s">
        <v>200</v>
      </c>
      <c r="Z331" s="26" t="s">
        <v>13</v>
      </c>
      <c r="AA331" s="13">
        <v>-5242.5</v>
      </c>
      <c r="AB331" s="66">
        <v>0</v>
      </c>
      <c r="AC331" s="30" t="s">
        <v>18</v>
      </c>
      <c r="AD331" s="29" t="s">
        <v>201</v>
      </c>
      <c r="AE331" s="32" t="s">
        <v>202</v>
      </c>
      <c r="AF331" s="32" t="s">
        <v>202</v>
      </c>
      <c r="AG331" s="17"/>
      <c r="AH331" s="27" t="str">
        <f>HYPERLINK("http://drinc.ca.gov/DNN/Portals/0/SelfCert/fb68776d-4780-451c-be96-6759562154f2.xlsx","WS2")</f>
        <v>WS2</v>
      </c>
      <c r="AI331" s="27"/>
      <c r="AJ331" s="11" t="s">
        <v>203</v>
      </c>
      <c r="AK331" s="58" t="str">
        <f>HYPERLINK("http://drinc.ca.gov/DNN/Portals/0/SelfCert/e8845f7d-fffb-4f1e-a12b-be1ca941f713.pdf","Cert")</f>
        <v>Cert</v>
      </c>
      <c r="AL331" s="58" t="str">
        <f>HYPERLINK("http://drinc.ca.gov/DNN/Portals/0/SelfCert/a120e308-7b74-4c6a-92a9-a5d9528f77ab.xlsx","Analysis")</f>
        <v>Analysis</v>
      </c>
    </row>
    <row r="332" spans="1:38" s="19" customFormat="1" ht="14.4" customHeight="1" x14ac:dyDescent="0.3">
      <c r="A332" s="12" t="s">
        <v>414</v>
      </c>
      <c r="B332" s="68" t="s">
        <v>16</v>
      </c>
      <c r="C332" s="73">
        <v>25494.25</v>
      </c>
      <c r="D332" s="14">
        <v>28498</v>
      </c>
      <c r="E332" s="14">
        <v>28498</v>
      </c>
      <c r="F332" s="18">
        <v>0</v>
      </c>
      <c r="G332" s="68" t="s">
        <v>830</v>
      </c>
      <c r="H332" s="64">
        <v>0.36</v>
      </c>
      <c r="I332" s="64">
        <v>0.28000000000000003</v>
      </c>
      <c r="J332" s="64">
        <v>0.36</v>
      </c>
      <c r="K332" s="71">
        <v>0.40422929045788158</v>
      </c>
      <c r="L332" s="65">
        <v>27823</v>
      </c>
      <c r="M332" s="65">
        <v>8623.7999999999993</v>
      </c>
      <c r="N332" s="13">
        <v>27823</v>
      </c>
      <c r="O332" s="13">
        <v>29173</v>
      </c>
      <c r="P332" s="30" t="s">
        <v>4</v>
      </c>
      <c r="Q332" s="13">
        <v>27823</v>
      </c>
      <c r="R332" s="13">
        <v>29173</v>
      </c>
      <c r="S332" s="23">
        <v>28498</v>
      </c>
      <c r="T332" s="41"/>
      <c r="U332" s="13">
        <v>28498</v>
      </c>
      <c r="V332" s="13">
        <v>28498</v>
      </c>
      <c r="W332" s="24">
        <v>28498</v>
      </c>
      <c r="X332" s="58" t="str">
        <f>HYPERLINK("http://drinc.ca.gov/DNN/Portals/0/SelfCert/03f63086-829d-4dd4-b4f6-491514c7af9d.xlsx","WS1")</f>
        <v>WS1</v>
      </c>
      <c r="Y332" s="10" t="s">
        <v>415</v>
      </c>
      <c r="Z332" s="52" t="s">
        <v>31</v>
      </c>
      <c r="AA332" s="32">
        <v>0</v>
      </c>
      <c r="AB332" s="47">
        <v>0</v>
      </c>
      <c r="AC332" s="16" t="s">
        <v>14</v>
      </c>
      <c r="AD332" s="74" t="s">
        <v>761</v>
      </c>
      <c r="AE332" s="45"/>
      <c r="AF332" s="45"/>
      <c r="AG332" s="75"/>
      <c r="AH332" s="38" t="s">
        <v>777</v>
      </c>
      <c r="AI332" s="37" t="str">
        <f>HYPERLINK("http://drinc.ca.gov/DNN/Portals/0/SelfCert/dfd724de-f543-4896-8cc4-e778ead3f440.pdf","Legal")</f>
        <v>Legal</v>
      </c>
      <c r="AJ332" s="76"/>
      <c r="AK332" s="58" t="str">
        <f>HYPERLINK("http://drinc.ca.gov/DNN/Portals/0/SelfCert/8cd9dd52-d5e4-41b1-8a35-7276166b3f73.pdf","Cert")</f>
        <v>Cert</v>
      </c>
      <c r="AL332" s="58" t="str">
        <f>HYPERLINK("http://drinc.ca.gov/DNN/Portals/0/SelfCert/3f166133-a94e-4c23-9695-446fbf4ec688.docx","Analysis")</f>
        <v>Analysis</v>
      </c>
    </row>
    <row r="333" spans="1:38" s="19" customFormat="1" ht="14.4" customHeight="1" x14ac:dyDescent="0.3">
      <c r="A333" s="12" t="s">
        <v>554</v>
      </c>
      <c r="B333" s="68" t="s">
        <v>16</v>
      </c>
      <c r="C333" s="73">
        <v>43047.833333333336</v>
      </c>
      <c r="D333" s="14">
        <v>12804</v>
      </c>
      <c r="E333" s="14">
        <v>24063</v>
      </c>
      <c r="F333" s="18">
        <v>0</v>
      </c>
      <c r="G333" s="68" t="s">
        <v>776</v>
      </c>
      <c r="H333" s="64">
        <v>0.36</v>
      </c>
      <c r="I333" s="64">
        <v>0.32</v>
      </c>
      <c r="J333" s="64">
        <v>0.24</v>
      </c>
      <c r="K333" s="71">
        <v>0.21552255150229271</v>
      </c>
      <c r="L333" s="65">
        <v>12833.7</v>
      </c>
      <c r="M333" s="65">
        <v>12833.7</v>
      </c>
      <c r="N333" s="13">
        <v>12829.6</v>
      </c>
      <c r="O333" s="13">
        <v>12778.4</v>
      </c>
      <c r="P333" s="30" t="s">
        <v>4</v>
      </c>
      <c r="Q333" s="13">
        <v>12829.6</v>
      </c>
      <c r="R333" s="13">
        <v>12778.4</v>
      </c>
      <c r="S333" s="23">
        <v>12804</v>
      </c>
      <c r="T333" s="41"/>
      <c r="U333" s="13">
        <v>37578</v>
      </c>
      <c r="V333" s="13">
        <v>29635</v>
      </c>
      <c r="W333" s="24">
        <v>24063</v>
      </c>
      <c r="X333" s="58" t="str">
        <f>HYPERLINK("http://drinc.ca.gov/DNN/Portals/0/SelfCert/af4ed60b-ddfd-4bdf-9fb3-337aa2d246bb.xlsx","WS1")</f>
        <v>WS1</v>
      </c>
      <c r="Y333" s="10"/>
      <c r="Z333" s="26" t="s">
        <v>13</v>
      </c>
      <c r="AA333" s="13">
        <v>-11259</v>
      </c>
      <c r="AB333" s="66">
        <v>0</v>
      </c>
      <c r="AC333" s="30" t="s">
        <v>14</v>
      </c>
      <c r="AD333" s="29" t="s">
        <v>555</v>
      </c>
      <c r="AE333" s="32"/>
      <c r="AF333" s="32"/>
      <c r="AG333" s="17"/>
      <c r="AH333" s="27" t="str">
        <f>HYPERLINK("https://drinc.ca.gov/DNN/Portals/0/SelfCert/e26828a3-d85b-4c97-a760-534f5d731a16.xlsx","WS2")</f>
        <v>WS2</v>
      </c>
      <c r="AI333" s="27"/>
      <c r="AJ333" s="11"/>
      <c r="AK333" s="58" t="str">
        <f>HYPERLINK("http://drinc.ca.gov/DNN/Portals/0/SelfCert/855bb249-31ed-4858-b0bf-4cbe62591411.pdf","Cert")</f>
        <v>Cert</v>
      </c>
      <c r="AL333" s="58" t="str">
        <f>HYPERLINK("http://drinc.ca.gov/DNN/Portals/0/SelfCert/bd25f1d3-a9d9-4bf3-81fe-f096fb6e1081.pdf","Analysis")</f>
        <v>Analysis</v>
      </c>
    </row>
    <row r="334" spans="1:38" s="19" customFormat="1" ht="14.4" customHeight="1" x14ac:dyDescent="0.3">
      <c r="A334" s="12" t="s">
        <v>227</v>
      </c>
      <c r="B334" s="68" t="s">
        <v>40</v>
      </c>
      <c r="C334" s="73">
        <v>87696</v>
      </c>
      <c r="D334" s="14">
        <v>9948.9</v>
      </c>
      <c r="E334" s="14">
        <v>9948.9</v>
      </c>
      <c r="F334" s="18">
        <v>0</v>
      </c>
      <c r="G334" s="68" t="s">
        <v>776</v>
      </c>
      <c r="H334" s="64">
        <v>0.08</v>
      </c>
      <c r="I334" s="64">
        <v>0.08</v>
      </c>
      <c r="J334" s="64">
        <v>0.24</v>
      </c>
      <c r="K334" s="71">
        <v>0.21883663500889161</v>
      </c>
      <c r="L334" s="65">
        <v>10536.3</v>
      </c>
      <c r="M334" s="65">
        <v>10536.3</v>
      </c>
      <c r="N334" s="13">
        <v>10505.7</v>
      </c>
      <c r="O334" s="13">
        <v>9392</v>
      </c>
      <c r="P334" s="30" t="s">
        <v>4</v>
      </c>
      <c r="Q334" s="13">
        <v>10505.7</v>
      </c>
      <c r="R334" s="13">
        <v>9392</v>
      </c>
      <c r="S334" s="23">
        <v>9948.9</v>
      </c>
      <c r="T334" s="41"/>
      <c r="U334" s="13">
        <v>9948.85</v>
      </c>
      <c r="V334" s="13">
        <v>9948.9</v>
      </c>
      <c r="W334" s="24">
        <v>9948.9</v>
      </c>
      <c r="X334" s="58" t="str">
        <f>HYPERLINK("http://drinc.ca.gov/DNN/Portals/0/SelfCert/84722003-9826-4fba-a980-6ff28e220b50.xlsx","WS1")</f>
        <v>WS1</v>
      </c>
      <c r="Y334" s="10"/>
      <c r="Z334" s="26" t="s">
        <v>13</v>
      </c>
      <c r="AA334" s="13">
        <v>0</v>
      </c>
      <c r="AB334" s="15">
        <v>0</v>
      </c>
      <c r="AC334" s="30" t="s">
        <v>14</v>
      </c>
      <c r="AD334" s="29"/>
      <c r="AE334" s="32"/>
      <c r="AF334" s="32"/>
      <c r="AG334" s="17"/>
      <c r="AH334" s="27"/>
      <c r="AI334" s="27"/>
      <c r="AJ334" s="11"/>
      <c r="AK334" s="58" t="str">
        <f>HYPERLINK("http://drinc.ca.gov/DNN/Portals/0/SelfCert/df70f039-7ba4-43be-b072-f200693b94c7.pdf","Cert")</f>
        <v>Cert</v>
      </c>
      <c r="AL334" s="58" t="str">
        <f>HYPERLINK("http://drinc.ca.gov/DNN/Portals/0/SelfCert/8732b411-ab95-41b6-801a-1c56330d2c5e.docx","Analysis")</f>
        <v>Analysis</v>
      </c>
    </row>
    <row r="335" spans="1:38" s="19" customFormat="1" ht="14.4" customHeight="1" x14ac:dyDescent="0.3">
      <c r="A335" s="12" t="s">
        <v>480</v>
      </c>
      <c r="B335" s="68" t="s">
        <v>46</v>
      </c>
      <c r="C335" s="73">
        <v>25288.333333333332</v>
      </c>
      <c r="D335" s="14">
        <v>7679</v>
      </c>
      <c r="E335" s="14">
        <v>15063</v>
      </c>
      <c r="F335" s="18">
        <v>0</v>
      </c>
      <c r="G335" s="68" t="s">
        <v>776</v>
      </c>
      <c r="H335" s="64">
        <v>0.32</v>
      </c>
      <c r="I335" s="64">
        <v>0.28000000000000003</v>
      </c>
      <c r="J335" s="64">
        <v>0.22</v>
      </c>
      <c r="K335" s="71">
        <v>0.2354257396520778</v>
      </c>
      <c r="L335" s="65">
        <v>7873.4</v>
      </c>
      <c r="M335" s="65">
        <v>7873.4</v>
      </c>
      <c r="N335" s="13">
        <v>7915</v>
      </c>
      <c r="O335" s="13">
        <v>7443</v>
      </c>
      <c r="P335" s="30" t="s">
        <v>4</v>
      </c>
      <c r="Q335" s="13">
        <v>7915</v>
      </c>
      <c r="R335" s="13">
        <v>7443</v>
      </c>
      <c r="S335" s="34">
        <v>7679</v>
      </c>
      <c r="T335" s="41"/>
      <c r="U335" s="13">
        <v>15063</v>
      </c>
      <c r="V335" s="13">
        <v>15063</v>
      </c>
      <c r="W335" s="24">
        <v>15063</v>
      </c>
      <c r="X335" s="58" t="str">
        <f>HYPERLINK("https://drinc.ca.gov/DNN/Portals/0/SelfCert/c5500e7c-da75-44dc-8cec-0c2134e963e1.xlsx","WS1")</f>
        <v>WS1</v>
      </c>
      <c r="Y335" s="10"/>
      <c r="Z335" s="26" t="s">
        <v>13</v>
      </c>
      <c r="AA335" s="31">
        <v>-7384</v>
      </c>
      <c r="AB335" s="66">
        <v>0</v>
      </c>
      <c r="AC335" s="30" t="s">
        <v>18</v>
      </c>
      <c r="AD335" s="29" t="s">
        <v>481</v>
      </c>
      <c r="AE335" s="32"/>
      <c r="AF335" s="32"/>
      <c r="AG335" s="17"/>
      <c r="AH335" s="36"/>
      <c r="AI335" s="36"/>
      <c r="AJ335" s="11"/>
      <c r="AK335" s="58" t="str">
        <f>HYPERLINK("https://drinc.ca.gov/DNN/Portals/0/SelfCert/7284c411-1277-4216-8015-4abfc69fcc12.pdf","Cert")</f>
        <v>Cert</v>
      </c>
      <c r="AL335" s="58" t="str">
        <f>HYPERLINK("https://drinc.ca.gov/DNN/Portals/0/SelfCert/f8ed7f38-d999-4613-b175-8990f309669e.xlsx","Analysis")</f>
        <v>Analysis</v>
      </c>
    </row>
    <row r="336" spans="1:38" s="19" customFormat="1" ht="14.4" customHeight="1" x14ac:dyDescent="0.3">
      <c r="A336" s="12" t="s">
        <v>164</v>
      </c>
      <c r="B336" s="68" t="s">
        <v>46</v>
      </c>
      <c r="C336" s="73">
        <v>24194.083333333332</v>
      </c>
      <c r="D336" s="14">
        <v>4851.3</v>
      </c>
      <c r="E336" s="14">
        <v>288886</v>
      </c>
      <c r="F336" s="18">
        <v>0</v>
      </c>
      <c r="G336" s="68" t="s">
        <v>776</v>
      </c>
      <c r="H336" s="64">
        <v>0.24</v>
      </c>
      <c r="I336" s="64">
        <v>0.22</v>
      </c>
      <c r="J336" s="64">
        <v>0.23</v>
      </c>
      <c r="K336" s="71">
        <v>0.12793748255651693</v>
      </c>
      <c r="L336" s="65">
        <v>5079.1000000000004</v>
      </c>
      <c r="M336" s="65">
        <v>5079.1000000000004</v>
      </c>
      <c r="N336" s="13">
        <v>5102.3</v>
      </c>
      <c r="O336" s="13">
        <v>4600.2</v>
      </c>
      <c r="P336" s="30" t="s">
        <v>4</v>
      </c>
      <c r="Q336" s="13">
        <v>5102.3</v>
      </c>
      <c r="R336" s="13">
        <v>4600.2</v>
      </c>
      <c r="S336" s="23">
        <v>4851.3</v>
      </c>
      <c r="T336" s="41" t="s">
        <v>165</v>
      </c>
      <c r="U336" s="13">
        <v>288886</v>
      </c>
      <c r="V336" s="13">
        <v>288886</v>
      </c>
      <c r="W336" s="24">
        <v>288886</v>
      </c>
      <c r="X336" s="58" t="str">
        <f>HYPERLINK("http://drinc.ca.gov/DNN/Portals/0/SelfCert/08479bc5-b8c6-41f6-91ef-807ed25bc9d5.xlsx","WS1")</f>
        <v>WS1</v>
      </c>
      <c r="Y336" s="10" t="s">
        <v>754</v>
      </c>
      <c r="Z336" s="26" t="s">
        <v>13</v>
      </c>
      <c r="AA336" s="13">
        <v>-284034.7</v>
      </c>
      <c r="AB336" s="66">
        <v>0</v>
      </c>
      <c r="AC336" s="30" t="s">
        <v>14</v>
      </c>
      <c r="AD336" s="29" t="s">
        <v>166</v>
      </c>
      <c r="AE336" s="32"/>
      <c r="AF336" s="32"/>
      <c r="AG336" s="17"/>
      <c r="AH336" s="27" t="str">
        <f>HYPERLINK("http://drinc.ca.gov/DNN/Portals/0/SelfCert/fa8c7a15-8e9a-4205-8af4-034327925185.xlsx","WS2")</f>
        <v>WS2</v>
      </c>
      <c r="AI336" s="27"/>
      <c r="AJ336" s="11"/>
      <c r="AK336" s="58" t="str">
        <f>HYPERLINK("http://drinc.ca.gov/DNN/Portals/0/SelfCert/49bcbd54-67bb-4a6d-8895-173fa0cf2946.pdf","Cert")</f>
        <v>Cert</v>
      </c>
      <c r="AL336" s="58" t="str">
        <f>HYPERLINK("http://drinc.ca.gov/DNN/Portals/0/SelfCert/ca710b66-9012-4522-9f28-0fe9388e3c5b.xlsx","Analysis")</f>
        <v>Analysis</v>
      </c>
    </row>
    <row r="337" spans="1:38" s="19" customFormat="1" ht="14.4" customHeight="1" x14ac:dyDescent="0.3">
      <c r="A337" s="12" t="s">
        <v>344</v>
      </c>
      <c r="B337" s="68" t="s">
        <v>50</v>
      </c>
      <c r="C337" s="73">
        <v>43767</v>
      </c>
      <c r="D337" s="14">
        <v>15174.1</v>
      </c>
      <c r="E337" s="14">
        <v>33873</v>
      </c>
      <c r="F337" s="18">
        <v>0</v>
      </c>
      <c r="G337" s="68" t="s">
        <v>776</v>
      </c>
      <c r="H337" s="64">
        <v>0.36</v>
      </c>
      <c r="I337" s="64">
        <v>0.32</v>
      </c>
      <c r="J337" s="64">
        <v>0.31</v>
      </c>
      <c r="K337" s="71">
        <v>0.24074570096962566</v>
      </c>
      <c r="L337" s="65">
        <v>16394.5</v>
      </c>
      <c r="M337" s="65">
        <v>16394.5</v>
      </c>
      <c r="N337" s="13">
        <v>16394.5</v>
      </c>
      <c r="O337" s="13">
        <v>13953.7</v>
      </c>
      <c r="P337" s="30" t="s">
        <v>4</v>
      </c>
      <c r="Q337" s="13">
        <v>16394.5</v>
      </c>
      <c r="R337" s="13">
        <v>13953.7</v>
      </c>
      <c r="S337" s="23">
        <v>15174.1</v>
      </c>
      <c r="T337" s="41"/>
      <c r="U337" s="13">
        <v>33873</v>
      </c>
      <c r="V337" s="13">
        <v>33873</v>
      </c>
      <c r="W337" s="24">
        <v>33873</v>
      </c>
      <c r="X337" s="58" t="str">
        <f>HYPERLINK("http://drinc.ca.gov/DNN/Portals/0/SelfCert/b99620e5-5f0f-4766-b439-9abb7b169092.xlsx","WS1")</f>
        <v>WS1</v>
      </c>
      <c r="Y337" s="10"/>
      <c r="Z337" s="26" t="s">
        <v>13</v>
      </c>
      <c r="AA337" s="13">
        <v>-18698.900000000001</v>
      </c>
      <c r="AB337" s="66">
        <v>0</v>
      </c>
      <c r="AC337" s="30" t="s">
        <v>14</v>
      </c>
      <c r="AD337" s="29" t="s">
        <v>21</v>
      </c>
      <c r="AE337" s="32"/>
      <c r="AF337" s="32"/>
      <c r="AG337" s="17"/>
      <c r="AH337" s="27"/>
      <c r="AI337" s="27"/>
      <c r="AJ337" s="11"/>
      <c r="AK337" s="58" t="str">
        <f>HYPERLINK("http://drinc.ca.gov/DNN/Portals/0/SelfCert/65de5903-a863-40b8-adff-16d79cdfaf6f.pdf","Cert")</f>
        <v>Cert</v>
      </c>
      <c r="AL337" s="58" t="str">
        <f>HYPERLINK("http://drinc.ca.gov/DNN/Portals/0/SelfCert/ea86267f-1856-402e-a886-7e0bb02c80b1.xlsx","Analysis")</f>
        <v>Analysis</v>
      </c>
    </row>
    <row r="338" spans="1:38" s="19" customFormat="1" ht="14.4" customHeight="1" x14ac:dyDescent="0.3">
      <c r="A338" s="12" t="s">
        <v>563</v>
      </c>
      <c r="B338" s="68" t="s">
        <v>40</v>
      </c>
      <c r="C338" s="73">
        <v>22258</v>
      </c>
      <c r="D338" s="14">
        <v>1977.8</v>
      </c>
      <c r="E338" s="14">
        <v>2357</v>
      </c>
      <c r="F338" s="18">
        <v>0</v>
      </c>
      <c r="G338" s="68" t="s">
        <v>776</v>
      </c>
      <c r="H338" s="64">
        <v>0.12</v>
      </c>
      <c r="I338" s="64">
        <v>0.12</v>
      </c>
      <c r="J338" s="64">
        <v>0.23</v>
      </c>
      <c r="K338" s="71">
        <v>0.2032442748091603</v>
      </c>
      <c r="L338" s="65">
        <v>2081.4</v>
      </c>
      <c r="M338" s="65">
        <v>2081.4</v>
      </c>
      <c r="N338" s="13">
        <v>2081.4</v>
      </c>
      <c r="O338" s="13">
        <v>1874.2</v>
      </c>
      <c r="P338" s="30" t="s">
        <v>4</v>
      </c>
      <c r="Q338" s="13">
        <v>2081.4</v>
      </c>
      <c r="R338" s="13">
        <v>1874.2</v>
      </c>
      <c r="S338" s="23">
        <v>1977.8</v>
      </c>
      <c r="T338" s="41"/>
      <c r="U338" s="13">
        <v>2357</v>
      </c>
      <c r="V338" s="13">
        <v>2357</v>
      </c>
      <c r="W338" s="24">
        <v>2357</v>
      </c>
      <c r="X338" s="58" t="str">
        <f>HYPERLINK("http://drinc.ca.gov/DNN/Portals/0/SelfCert/27108bcb-611b-413b-a951-95c60af842db.xlsx","WS1")</f>
        <v>WS1</v>
      </c>
      <c r="Y338" s="10"/>
      <c r="Z338" s="26" t="s">
        <v>13</v>
      </c>
      <c r="AA338" s="13">
        <v>-379.2</v>
      </c>
      <c r="AB338" s="66">
        <v>0</v>
      </c>
      <c r="AC338" s="30" t="s">
        <v>14</v>
      </c>
      <c r="AD338" s="29" t="s">
        <v>21</v>
      </c>
      <c r="AE338" s="32"/>
      <c r="AF338" s="32"/>
      <c r="AG338" s="17"/>
      <c r="AH338" s="27"/>
      <c r="AI338" s="27"/>
      <c r="AJ338" s="11"/>
      <c r="AK338" s="58" t="str">
        <f>HYPERLINK("http://drinc.ca.gov/DNN/Portals/0/SelfCert/69bb54a5-4487-4f78-ae19-31a6774e47a8.pdf","Cert")</f>
        <v>Cert</v>
      </c>
      <c r="AL338" s="58" t="str">
        <f>HYPERLINK("http://drinc.ca.gov/DNN/Portals/0/SelfCert/48cb33df-016a-417f-b320-104482631a35.xlsx","Analysis")</f>
        <v>Analysis</v>
      </c>
    </row>
    <row r="339" spans="1:38" s="19" customFormat="1" ht="14.4" customHeight="1" x14ac:dyDescent="0.3">
      <c r="A339" s="12" t="s">
        <v>186</v>
      </c>
      <c r="B339" s="68" t="s">
        <v>16</v>
      </c>
      <c r="C339" s="73">
        <v>193300</v>
      </c>
      <c r="D339" s="14">
        <v>27132.5</v>
      </c>
      <c r="E339" s="14">
        <v>27178</v>
      </c>
      <c r="F339" s="18">
        <v>0</v>
      </c>
      <c r="G339" s="68" t="s">
        <v>776</v>
      </c>
      <c r="H339" s="64">
        <v>0.2</v>
      </c>
      <c r="I339" s="64">
        <v>0.18</v>
      </c>
      <c r="J339" s="64">
        <v>0.22</v>
      </c>
      <c r="K339" s="71">
        <v>0.21292790660987537</v>
      </c>
      <c r="L339" s="65">
        <v>27699.4</v>
      </c>
      <c r="M339" s="65">
        <v>27699.4</v>
      </c>
      <c r="N339" s="13">
        <v>27699</v>
      </c>
      <c r="O339" s="13">
        <v>26566</v>
      </c>
      <c r="P339" s="30" t="s">
        <v>4</v>
      </c>
      <c r="Q339" s="13">
        <v>27699</v>
      </c>
      <c r="R339" s="13">
        <v>26566</v>
      </c>
      <c r="S339" s="23">
        <v>27132.5</v>
      </c>
      <c r="T339" s="41"/>
      <c r="U339" s="13">
        <v>27178</v>
      </c>
      <c r="V339" s="13">
        <v>27178</v>
      </c>
      <c r="W339" s="24">
        <v>27178</v>
      </c>
      <c r="X339" s="58" t="str">
        <f>HYPERLINK("https://drinc.ca.gov/DNN/Portals/0/SelfCert/9ed224c6-70cf-4d08-9806-8f2fec3dd7b7.xlsx","WS1")</f>
        <v>WS1</v>
      </c>
      <c r="Y339" s="10"/>
      <c r="Z339" s="26" t="s">
        <v>13</v>
      </c>
      <c r="AA339" s="13">
        <v>-45.5</v>
      </c>
      <c r="AB339" s="15">
        <v>0</v>
      </c>
      <c r="AC339" s="30" t="s">
        <v>18</v>
      </c>
      <c r="AD339" s="29" t="s">
        <v>187</v>
      </c>
      <c r="AE339" s="32"/>
      <c r="AF339" s="32"/>
      <c r="AG339" s="17"/>
      <c r="AH339" s="27"/>
      <c r="AI339" s="27"/>
      <c r="AJ339" s="11"/>
      <c r="AK339" s="58" t="str">
        <f>HYPERLINK("https://drinc.ca.gov/DNN/Portals/0/SelfCert/4c04e4a9-10c1-4966-9d04-ec7f2fa38e89.pdf","Cert")</f>
        <v>Cert</v>
      </c>
      <c r="AL339" s="58" t="str">
        <f>HYPERLINK("https://drinc.ca.gov/DNN/Portals/0/SelfCert/c4d7ce31-571a-4c0f-be90-f97f866bfd3a.xlsx","Analysis")</f>
        <v>Analysis</v>
      </c>
    </row>
    <row r="340" spans="1:38" s="19" customFormat="1" ht="14.4" customHeight="1" x14ac:dyDescent="0.3">
      <c r="A340" s="12" t="s">
        <v>373</v>
      </c>
      <c r="B340" s="68" t="s">
        <v>50</v>
      </c>
      <c r="C340" s="73">
        <v>21441</v>
      </c>
      <c r="D340" s="14">
        <v>3596.5</v>
      </c>
      <c r="E340" s="14">
        <v>13470</v>
      </c>
      <c r="F340" s="18">
        <v>0</v>
      </c>
      <c r="G340" s="68" t="s">
        <v>776</v>
      </c>
      <c r="H340" s="64">
        <v>0.36</v>
      </c>
      <c r="I340" s="64">
        <v>0.28000000000000003</v>
      </c>
      <c r="J340" s="64">
        <v>0.28999999999999998</v>
      </c>
      <c r="K340" s="71">
        <v>0.23840779810693213</v>
      </c>
      <c r="L340" s="65">
        <v>3987</v>
      </c>
      <c r="M340" s="65">
        <v>3987</v>
      </c>
      <c r="N340" s="13">
        <v>3986</v>
      </c>
      <c r="O340" s="13">
        <v>3207</v>
      </c>
      <c r="P340" s="30" t="s">
        <v>4</v>
      </c>
      <c r="Q340" s="13">
        <v>3986</v>
      </c>
      <c r="R340" s="13">
        <v>3207</v>
      </c>
      <c r="S340" s="23">
        <v>3596.5</v>
      </c>
      <c r="T340" s="41"/>
      <c r="U340" s="13">
        <v>13470</v>
      </c>
      <c r="V340" s="13">
        <v>13470</v>
      </c>
      <c r="W340" s="24">
        <v>13470</v>
      </c>
      <c r="X340" s="58" t="str">
        <f>HYPERLINK("http://drinc.ca.gov/DNN/Portals/0/SelfCert/8dc679c4-9d5f-4c94-839c-e83be84b1460.xlsx","WS1")</f>
        <v>WS1</v>
      </c>
      <c r="Y340" s="10"/>
      <c r="Z340" s="26" t="s">
        <v>13</v>
      </c>
      <c r="AA340" s="13">
        <v>-9873.5</v>
      </c>
      <c r="AB340" s="66">
        <v>0</v>
      </c>
      <c r="AC340" s="30" t="s">
        <v>14</v>
      </c>
      <c r="AD340" s="29"/>
      <c r="AE340" s="32"/>
      <c r="AF340" s="32"/>
      <c r="AG340" s="17"/>
      <c r="AH340" s="27"/>
      <c r="AI340" s="27"/>
      <c r="AJ340" s="11"/>
      <c r="AK340" s="58" t="str">
        <f>HYPERLINK("http://drinc.ca.gov/DNN/Portals/0/SelfCert/e374fe3a-9a2f-48b5-9435-d4488463b13e.pdf","Cert")</f>
        <v>Cert</v>
      </c>
      <c r="AL340" s="58" t="str">
        <f>HYPERLINK("http://drinc.ca.gov/DNN/Portals/0/SelfCert/24107ff0-2423-4da0-ae26-4011d7463155.docx","Analysis")</f>
        <v>Analysis</v>
      </c>
    </row>
    <row r="341" spans="1:38" s="19" customFormat="1" ht="14.4" customHeight="1" x14ac:dyDescent="0.3">
      <c r="A341" s="12" t="s">
        <v>354</v>
      </c>
      <c r="B341" s="68" t="s">
        <v>16</v>
      </c>
      <c r="C341" s="73">
        <v>36215</v>
      </c>
      <c r="D341" s="14">
        <v>5712.2</v>
      </c>
      <c r="E341" s="14">
        <v>6632</v>
      </c>
      <c r="F341" s="18">
        <v>0</v>
      </c>
      <c r="G341" s="68" t="s">
        <v>776</v>
      </c>
      <c r="H341" s="64">
        <v>0.16</v>
      </c>
      <c r="I341" s="64">
        <v>0.16</v>
      </c>
      <c r="J341" s="64">
        <v>0.17</v>
      </c>
      <c r="K341" s="71">
        <v>0.15681730397836979</v>
      </c>
      <c r="L341" s="65">
        <v>5784.4</v>
      </c>
      <c r="M341" s="65">
        <v>5784.4</v>
      </c>
      <c r="N341" s="13">
        <v>5784.3</v>
      </c>
      <c r="O341" s="13">
        <v>5640</v>
      </c>
      <c r="P341" s="30" t="s">
        <v>4</v>
      </c>
      <c r="Q341" s="13">
        <v>5784.3</v>
      </c>
      <c r="R341" s="13">
        <v>5640</v>
      </c>
      <c r="S341" s="23">
        <v>5712.2</v>
      </c>
      <c r="T341" s="41"/>
      <c r="U341" s="13">
        <v>6688</v>
      </c>
      <c r="V341" s="13">
        <v>6679</v>
      </c>
      <c r="W341" s="24">
        <v>6632</v>
      </c>
      <c r="X341" s="58" t="str">
        <f>HYPERLINK("http://drinc.ca.gov/DNN/Portals/0/SelfCert/58818bfe-79dc-4d28-b3ad-71c0e399936d.xlsx","WS1")</f>
        <v>WS1</v>
      </c>
      <c r="Y341" s="10"/>
      <c r="Z341" s="26" t="s">
        <v>13</v>
      </c>
      <c r="AA341" s="13">
        <v>-919.9</v>
      </c>
      <c r="AB341" s="66">
        <v>0</v>
      </c>
      <c r="AC341" s="30" t="s">
        <v>14</v>
      </c>
      <c r="AD341" s="29" t="s">
        <v>21</v>
      </c>
      <c r="AE341" s="32"/>
      <c r="AF341" s="32"/>
      <c r="AG341" s="17"/>
      <c r="AH341" s="27"/>
      <c r="AI341" s="27"/>
      <c r="AJ341" s="11"/>
      <c r="AK341" s="58" t="str">
        <f>HYPERLINK("http://drinc.ca.gov/DNN/Portals/0/SelfCert/7156302b-61a1-4a60-8bf7-7353317f448d.pdf","Cert")</f>
        <v>Cert</v>
      </c>
      <c r="AL341" s="58" t="str">
        <f>HYPERLINK("http://drinc.ca.gov/DNN/Portals/0/SelfCert/72f97140-0e15-423c-96e7-3be8c81e2205.xlsx","Analysis")</f>
        <v>Analysis</v>
      </c>
    </row>
    <row r="342" spans="1:38" s="19" customFormat="1" ht="14.4" customHeight="1" x14ac:dyDescent="0.3">
      <c r="A342" s="12" t="s">
        <v>558</v>
      </c>
      <c r="B342" s="68" t="s">
        <v>16</v>
      </c>
      <c r="C342" s="73">
        <v>27656</v>
      </c>
      <c r="D342" s="14">
        <v>2675.9</v>
      </c>
      <c r="E342" s="14">
        <v>6347</v>
      </c>
      <c r="F342" s="18">
        <v>0</v>
      </c>
      <c r="G342" s="68" t="s">
        <v>776</v>
      </c>
      <c r="H342" s="64">
        <v>0.12</v>
      </c>
      <c r="I342" s="64">
        <v>0.1</v>
      </c>
      <c r="J342" s="64">
        <v>0.14000000000000001</v>
      </c>
      <c r="K342" s="71">
        <v>0.1608102521703183</v>
      </c>
      <c r="L342" s="65">
        <v>2713.8</v>
      </c>
      <c r="M342" s="65">
        <v>2713.8</v>
      </c>
      <c r="N342" s="13">
        <v>2710.8</v>
      </c>
      <c r="O342" s="13">
        <v>2640.9</v>
      </c>
      <c r="P342" s="30" t="s">
        <v>4</v>
      </c>
      <c r="Q342" s="13">
        <v>2710.8</v>
      </c>
      <c r="R342" s="13">
        <v>2640.9</v>
      </c>
      <c r="S342" s="23">
        <v>2675.9</v>
      </c>
      <c r="T342" s="41"/>
      <c r="U342" s="13">
        <v>4925</v>
      </c>
      <c r="V342" s="13">
        <v>6347</v>
      </c>
      <c r="W342" s="24">
        <v>6347</v>
      </c>
      <c r="X342" s="58" t="str">
        <f>HYPERLINK("http://drinc.ca.gov/DNN/Portals/0/SelfCert/aacdf661-919b-4e00-bbde-9ed25ffaf0cc.xlsx","WS1")</f>
        <v>WS1</v>
      </c>
      <c r="Y342" s="10"/>
      <c r="Z342" s="26" t="s">
        <v>13</v>
      </c>
      <c r="AA342" s="13">
        <v>-3671.2</v>
      </c>
      <c r="AB342" s="66">
        <v>0</v>
      </c>
      <c r="AC342" s="30" t="s">
        <v>14</v>
      </c>
      <c r="AD342" s="29" t="s">
        <v>21</v>
      </c>
      <c r="AE342" s="32"/>
      <c r="AF342" s="32"/>
      <c r="AG342" s="17"/>
      <c r="AH342" s="27"/>
      <c r="AI342" s="27"/>
      <c r="AJ342" s="11"/>
      <c r="AK342" s="58" t="str">
        <f>HYPERLINK("http://drinc.ca.gov/DNN/Portals/0/SelfCert/d04f816e-c3fb-42a5-9deb-38ad77df3b85.pdf","Cert")</f>
        <v>Cert</v>
      </c>
      <c r="AL342" s="58" t="str">
        <f>HYPERLINK("http://drinc.ca.gov/DNN/Portals/0/SelfCert/18b0028e-74eb-48d5-8023-508074ce8dd7.xlsx","Analysis")</f>
        <v>Analysis</v>
      </c>
    </row>
    <row r="343" spans="1:38" s="19" customFormat="1" ht="14.4" customHeight="1" x14ac:dyDescent="0.3">
      <c r="A343" s="12" t="s">
        <v>484</v>
      </c>
      <c r="B343" s="68" t="s">
        <v>50</v>
      </c>
      <c r="C343" s="73">
        <v>24289</v>
      </c>
      <c r="D343" s="14">
        <v>5755.7</v>
      </c>
      <c r="E343" s="14">
        <v>6147</v>
      </c>
      <c r="F343" s="18">
        <v>0</v>
      </c>
      <c r="G343" s="68" t="s">
        <v>776</v>
      </c>
      <c r="H343" s="64">
        <v>0.32</v>
      </c>
      <c r="I343" s="64">
        <v>0.28999999999999998</v>
      </c>
      <c r="J343" s="64">
        <v>0.33</v>
      </c>
      <c r="K343" s="71">
        <v>0.30123966942148761</v>
      </c>
      <c r="L343" s="65">
        <v>6131.6</v>
      </c>
      <c r="M343" s="65">
        <v>6131.6</v>
      </c>
      <c r="N343" s="13">
        <v>1998</v>
      </c>
      <c r="O343" s="13">
        <v>1753</v>
      </c>
      <c r="P343" s="30" t="s">
        <v>5</v>
      </c>
      <c r="Q343" s="13">
        <v>6131.6</v>
      </c>
      <c r="R343" s="13">
        <v>5379.8</v>
      </c>
      <c r="S343" s="23">
        <v>5755.7</v>
      </c>
      <c r="T343" s="41" t="s">
        <v>485</v>
      </c>
      <c r="U343" s="13">
        <v>6257</v>
      </c>
      <c r="V343" s="13">
        <v>6202</v>
      </c>
      <c r="W343" s="24">
        <v>6147</v>
      </c>
      <c r="X343" s="58" t="str">
        <f>HYPERLINK("https://drinc.ca.gov/DNN/Portals/0/SelfCert/c6985e78-bfbe-4472-9772-b572515a24e7.xlsx","WS1")</f>
        <v>WS1</v>
      </c>
      <c r="Y343" s="10" t="s">
        <v>486</v>
      </c>
      <c r="Z343" s="26" t="s">
        <v>13</v>
      </c>
      <c r="AA343" s="13">
        <v>-391.3</v>
      </c>
      <c r="AB343" s="66">
        <v>0</v>
      </c>
      <c r="AC343" s="30" t="s">
        <v>14</v>
      </c>
      <c r="AD343" s="29" t="s">
        <v>487</v>
      </c>
      <c r="AE343" s="32"/>
      <c r="AF343" s="32"/>
      <c r="AG343" s="17"/>
      <c r="AH343" s="27"/>
      <c r="AI343" s="27"/>
      <c r="AJ343" s="11"/>
      <c r="AK343" s="58" t="str">
        <f>HYPERLINK("https://drinc.ca.gov/DNN/Portals/0/SelfCert/89dd7b47-7194-4228-9f1c-7ec703188c1b.pdf","Cert")</f>
        <v>Cert</v>
      </c>
      <c r="AL343" s="58" t="str">
        <f>HYPERLINK("https://drinc.ca.gov/DNN/Portals/0/SelfCert/c3848a26-1603-4fcd-988e-bb43bb7e7716.xlsx","Analysis")</f>
        <v>Analysis</v>
      </c>
    </row>
    <row r="344" spans="1:38" s="19" customFormat="1" ht="14.4" customHeight="1" x14ac:dyDescent="0.3">
      <c r="A344" s="12" t="s">
        <v>565</v>
      </c>
      <c r="B344" s="68" t="s">
        <v>38</v>
      </c>
      <c r="C344" s="73">
        <v>31872</v>
      </c>
      <c r="D344" s="14">
        <v>7607.2</v>
      </c>
      <c r="E344" s="14">
        <v>16418</v>
      </c>
      <c r="F344" s="18">
        <v>0</v>
      </c>
      <c r="G344" s="68" t="s">
        <v>776</v>
      </c>
      <c r="H344" s="64">
        <v>0.32</v>
      </c>
      <c r="I344" s="64">
        <v>0.31</v>
      </c>
      <c r="J344" s="64">
        <v>0.37</v>
      </c>
      <c r="K344" s="71">
        <v>0.286884258701674</v>
      </c>
      <c r="L344" s="65">
        <v>8038.2</v>
      </c>
      <c r="M344" s="65">
        <v>8038.2</v>
      </c>
      <c r="N344" s="13">
        <v>8038.4</v>
      </c>
      <c r="O344" s="13">
        <v>7175.9</v>
      </c>
      <c r="P344" s="30" t="s">
        <v>4</v>
      </c>
      <c r="Q344" s="13">
        <v>8038.4</v>
      </c>
      <c r="R344" s="13">
        <v>7175.9</v>
      </c>
      <c r="S344" s="23">
        <v>7607.2</v>
      </c>
      <c r="T344" s="41"/>
      <c r="U344" s="13">
        <v>16501</v>
      </c>
      <c r="V344" s="13">
        <v>16336</v>
      </c>
      <c r="W344" s="24">
        <v>16418</v>
      </c>
      <c r="X344" s="58" t="str">
        <f>HYPERLINK("http://drinc.ca.gov/DNN/Portals/0/SelfCert/049661a5-6ff3-4bfe-b4d6-4bd79c37f949.xlsx","WS1")</f>
        <v>WS1</v>
      </c>
      <c r="Y344" s="10"/>
      <c r="Z344" s="26" t="s">
        <v>13</v>
      </c>
      <c r="AA344" s="13">
        <v>-8810.9</v>
      </c>
      <c r="AB344" s="66">
        <v>0</v>
      </c>
      <c r="AC344" s="30" t="s">
        <v>14</v>
      </c>
      <c r="AD344" s="29" t="s">
        <v>21</v>
      </c>
      <c r="AE344" s="32"/>
      <c r="AF344" s="32"/>
      <c r="AG344" s="17"/>
      <c r="AH344" s="27"/>
      <c r="AI344" s="27"/>
      <c r="AJ344" s="11"/>
      <c r="AK344" s="58" t="str">
        <f>HYPERLINK("http://drinc.ca.gov/DNN/Portals/0/SelfCert/ada319b3-6a55-45f8-a202-744d20031ad1.pdf","Cert")</f>
        <v>Cert</v>
      </c>
      <c r="AL344" s="58" t="str">
        <f>HYPERLINK("http://drinc.ca.gov/DNN/Portals/0/SelfCert/bb07c79d-bbde-42da-a97f-5489e69a5718.pdf","Analysis")</f>
        <v>Analysis</v>
      </c>
    </row>
    <row r="345" spans="1:38" s="19" customFormat="1" ht="14.4" customHeight="1" x14ac:dyDescent="0.3">
      <c r="A345" s="12" t="s">
        <v>173</v>
      </c>
      <c r="B345" s="68" t="s">
        <v>16</v>
      </c>
      <c r="C345" s="73">
        <v>86418</v>
      </c>
      <c r="D345" s="14">
        <v>9842.2999999999993</v>
      </c>
      <c r="E345" s="14">
        <v>9311</v>
      </c>
      <c r="F345" s="18">
        <v>0.05</v>
      </c>
      <c r="G345" s="68" t="s">
        <v>776</v>
      </c>
      <c r="H345" s="64">
        <v>0.12</v>
      </c>
      <c r="I345" s="64">
        <v>0.11</v>
      </c>
      <c r="J345" s="64">
        <v>0.16</v>
      </c>
      <c r="K345" s="71">
        <v>0.1788187173839928</v>
      </c>
      <c r="L345" s="65">
        <v>10265.6</v>
      </c>
      <c r="M345" s="65">
        <v>10265.6</v>
      </c>
      <c r="N345" s="13">
        <v>10106.799999999999</v>
      </c>
      <c r="O345" s="13">
        <v>9577.7999999999993</v>
      </c>
      <c r="P345" s="30" t="s">
        <v>4</v>
      </c>
      <c r="Q345" s="13">
        <v>10106.799999999999</v>
      </c>
      <c r="R345" s="13">
        <v>9577.7999999999993</v>
      </c>
      <c r="S345" s="34">
        <v>9842.2999999999993</v>
      </c>
      <c r="T345" s="41"/>
      <c r="U345" s="13">
        <v>9311</v>
      </c>
      <c r="V345" s="13">
        <v>9311</v>
      </c>
      <c r="W345" s="24">
        <v>9311</v>
      </c>
      <c r="X345" s="58" t="str">
        <f>HYPERLINK("http://drinc.ca.gov/DNN/Portals/0/SelfCert/faae50c4-c52c-4a80-b54d-68e336dc073d.xlsx","WS1")</f>
        <v>WS1</v>
      </c>
      <c r="Y345" s="10"/>
      <c r="Z345" s="26" t="s">
        <v>13</v>
      </c>
      <c r="AA345" s="31">
        <v>531.29999999999995</v>
      </c>
      <c r="AB345" s="15">
        <v>0.05</v>
      </c>
      <c r="AC345" s="30" t="s">
        <v>18</v>
      </c>
      <c r="AD345" s="29" t="s">
        <v>174</v>
      </c>
      <c r="AE345" s="32">
        <v>9843</v>
      </c>
      <c r="AF345" s="32">
        <v>9311</v>
      </c>
      <c r="AG345" s="17"/>
      <c r="AH345" s="36" t="str">
        <f>HYPERLINK("http://drinc.ca.gov/DNN/Portals/0/SelfCert/85d45da9-1d09-40cc-bea9-322a563fb0ce.xlsx","WS2")</f>
        <v>WS2</v>
      </c>
      <c r="AI345" s="36" t="str">
        <f>HYPERLINK("http://drinc.ca.gov/DNN/Portals/0/SelfCert/f1266f11-b2e2-4605-a4aa-cfd966be5bbd.pdf","Legal")</f>
        <v>Legal</v>
      </c>
      <c r="AJ345" s="11"/>
      <c r="AK345" s="58" t="str">
        <f>HYPERLINK("http://drinc.ca.gov/DNN/Portals/0/SelfCert/b4f3e4b8-f781-4f7e-8f71-75718bef09da.pdf","Cert")</f>
        <v>Cert</v>
      </c>
      <c r="AL345" s="58" t="str">
        <f>HYPERLINK("http://drinc.ca.gov/DNN/Portals/0/SelfCert/01a891d0-aa1a-4875-a3df-3364243e3849.xlsx","Analysis")</f>
        <v>Analysis</v>
      </c>
    </row>
    <row r="346" spans="1:38" s="19" customFormat="1" ht="14.4" customHeight="1" x14ac:dyDescent="0.3">
      <c r="A346" s="12" t="s">
        <v>571</v>
      </c>
      <c r="B346" s="68" t="s">
        <v>35</v>
      </c>
      <c r="C346" s="73">
        <v>8923.3333333333339</v>
      </c>
      <c r="D346" s="14">
        <v>3147.5</v>
      </c>
      <c r="E346" s="14">
        <v>7419</v>
      </c>
      <c r="F346" s="18">
        <v>0</v>
      </c>
      <c r="G346" s="68" t="s">
        <v>776</v>
      </c>
      <c r="H346" s="64">
        <v>0.36</v>
      </c>
      <c r="I346" s="64">
        <v>0.33</v>
      </c>
      <c r="J346" s="64">
        <v>0.31</v>
      </c>
      <c r="K346" s="71">
        <v>0.18538897824430711</v>
      </c>
      <c r="L346" s="65">
        <v>3191.2</v>
      </c>
      <c r="M346" s="65">
        <v>3191.2</v>
      </c>
      <c r="N346" s="13">
        <v>3191</v>
      </c>
      <c r="O346" s="13">
        <v>3104</v>
      </c>
      <c r="P346" s="30" t="s">
        <v>4</v>
      </c>
      <c r="Q346" s="13">
        <v>3191</v>
      </c>
      <c r="R346" s="13">
        <v>3104</v>
      </c>
      <c r="S346" s="23">
        <v>3147.5</v>
      </c>
      <c r="T346" s="41"/>
      <c r="U346" s="13">
        <v>7419</v>
      </c>
      <c r="V346" s="13">
        <v>7419</v>
      </c>
      <c r="W346" s="24">
        <v>7419</v>
      </c>
      <c r="X346" s="58" t="str">
        <f>HYPERLINK("http://drinc.ca.gov/DNN/Portals/0/SelfCert/7fbc5455-7d20-47a2-be3b-5b538944209b.xlsx","WS1")</f>
        <v>WS1</v>
      </c>
      <c r="Y346" s="10"/>
      <c r="Z346" s="26" t="s">
        <v>13</v>
      </c>
      <c r="AA346" s="13">
        <v>-4271.5</v>
      </c>
      <c r="AB346" s="66">
        <v>0</v>
      </c>
      <c r="AC346" s="30" t="s">
        <v>14</v>
      </c>
      <c r="AD346" s="29"/>
      <c r="AE346" s="32"/>
      <c r="AF346" s="32"/>
      <c r="AG346" s="17"/>
      <c r="AH346" s="27"/>
      <c r="AI346" s="27"/>
      <c r="AJ346" s="11"/>
      <c r="AK346" s="58" t="str">
        <f>HYPERLINK("http://drinc.ca.gov/DNN/Portals/0/SelfCert/f7f1d66e-4fa2-489d-a8d3-359e4abbedfa.pdf","Cert")</f>
        <v>Cert</v>
      </c>
      <c r="AL346" s="58" t="str">
        <f>HYPERLINK("http://drinc.ca.gov/DNN/Portals/0/SelfCert/5bbc695e-c420-4f91-99e2-b2a167445b31.xlsx","Analysis")</f>
        <v>Analysis</v>
      </c>
    </row>
    <row r="347" spans="1:38" s="19" customFormat="1" ht="14.4" customHeight="1" x14ac:dyDescent="0.3">
      <c r="A347" s="12" t="s">
        <v>49</v>
      </c>
      <c r="B347" s="68" t="s">
        <v>50</v>
      </c>
      <c r="C347" s="73">
        <v>16743.599999999999</v>
      </c>
      <c r="D347" s="14">
        <v>5631</v>
      </c>
      <c r="E347" s="14">
        <v>57278</v>
      </c>
      <c r="F347" s="18">
        <v>0</v>
      </c>
      <c r="G347" s="68" t="s">
        <v>776</v>
      </c>
      <c r="H347" s="64">
        <v>0.36</v>
      </c>
      <c r="I347" s="64">
        <v>0.33</v>
      </c>
      <c r="J347" s="64">
        <v>0.21</v>
      </c>
      <c r="K347" s="71" t="s">
        <v>822</v>
      </c>
      <c r="L347" s="65">
        <v>4719.8999999999996</v>
      </c>
      <c r="M347" s="65">
        <v>4719.8999999999996</v>
      </c>
      <c r="N347" s="13">
        <v>5890</v>
      </c>
      <c r="O347" s="13">
        <v>5372</v>
      </c>
      <c r="P347" s="30" t="s">
        <v>4</v>
      </c>
      <c r="Q347" s="13">
        <v>5890</v>
      </c>
      <c r="R347" s="13">
        <v>5372</v>
      </c>
      <c r="S347" s="23">
        <v>5631</v>
      </c>
      <c r="T347" s="41"/>
      <c r="U347" s="13">
        <v>56151</v>
      </c>
      <c r="V347" s="13">
        <v>55331</v>
      </c>
      <c r="W347" s="24">
        <v>57278</v>
      </c>
      <c r="X347" s="58" t="str">
        <f>HYPERLINK("http://drinc.ca.gov/DNN/Portals/0/SelfCert/1a49c538-d2b4-46fb-a7ba-7ac1d11a52b1.xlsx","WS1")</f>
        <v>WS1</v>
      </c>
      <c r="Y347" s="10"/>
      <c r="Z347" s="26" t="s">
        <v>13</v>
      </c>
      <c r="AA347" s="13">
        <v>-51647</v>
      </c>
      <c r="AB347" s="66">
        <v>0</v>
      </c>
      <c r="AC347" s="30" t="s">
        <v>18</v>
      </c>
      <c r="AD347" s="29" t="s">
        <v>51</v>
      </c>
      <c r="AE347" s="32"/>
      <c r="AF347" s="32"/>
      <c r="AG347" s="17"/>
      <c r="AH347" s="27"/>
      <c r="AI347" s="27"/>
      <c r="AJ347" s="11"/>
      <c r="AK347" s="58" t="str">
        <f>HYPERLINK("http://drinc.ca.gov/DNN/Portals/0/SelfCert/25a91b09-43ca-4b8f-bde3-cd77347bbcd7.pdf","Cert")</f>
        <v>Cert</v>
      </c>
      <c r="AL347" s="58" t="str">
        <f>HYPERLINK("http://drinc.ca.gov/DNN/Portals/0/SelfCert/0b959a2b-8b57-4e7e-8860-44ffc299bb74.xls","Analysis")</f>
        <v>Analysis</v>
      </c>
    </row>
    <row r="348" spans="1:38" s="19" customFormat="1" ht="14.4" customHeight="1" x14ac:dyDescent="0.3">
      <c r="A348" s="12" t="s">
        <v>303</v>
      </c>
      <c r="B348" s="68" t="s">
        <v>16</v>
      </c>
      <c r="C348" s="73">
        <v>16654</v>
      </c>
      <c r="D348" s="14">
        <v>8236.5</v>
      </c>
      <c r="E348" s="14">
        <v>8050</v>
      </c>
      <c r="F348" s="18">
        <v>0.02</v>
      </c>
      <c r="G348" s="68" t="s">
        <v>776</v>
      </c>
      <c r="H348" s="64">
        <v>0.2</v>
      </c>
      <c r="I348" s="64">
        <v>0.2</v>
      </c>
      <c r="J348" s="64">
        <v>0.06</v>
      </c>
      <c r="K348" s="72">
        <v>-0.1024980872226473</v>
      </c>
      <c r="L348" s="65">
        <v>7570.2</v>
      </c>
      <c r="M348" s="65">
        <v>7570.2</v>
      </c>
      <c r="N348" s="13">
        <v>8397</v>
      </c>
      <c r="O348" s="13">
        <v>8076</v>
      </c>
      <c r="P348" s="30" t="s">
        <v>4</v>
      </c>
      <c r="Q348" s="13">
        <v>8397</v>
      </c>
      <c r="R348" s="13">
        <v>8076</v>
      </c>
      <c r="S348" s="23">
        <v>8236.5</v>
      </c>
      <c r="T348" s="41"/>
      <c r="U348" s="13">
        <v>8050</v>
      </c>
      <c r="V348" s="13">
        <v>8050</v>
      </c>
      <c r="W348" s="24">
        <v>8050</v>
      </c>
      <c r="X348" s="58" t="str">
        <f>HYPERLINK("http://drinc.ca.gov/DNN/Portals/0/SelfCert/6d899c8b-c68f-4d12-8dd8-dd062ed41610.xlsx","WS1")</f>
        <v>WS1</v>
      </c>
      <c r="Y348" s="10"/>
      <c r="Z348" s="26" t="s">
        <v>13</v>
      </c>
      <c r="AA348" s="13">
        <v>186.5</v>
      </c>
      <c r="AB348" s="15">
        <v>0.02</v>
      </c>
      <c r="AC348" s="30" t="s">
        <v>14</v>
      </c>
      <c r="AD348" s="29"/>
      <c r="AE348" s="32"/>
      <c r="AF348" s="32"/>
      <c r="AG348" s="17"/>
      <c r="AH348" s="27"/>
      <c r="AI348" s="27"/>
      <c r="AJ348" s="11"/>
      <c r="AK348" s="58" t="str">
        <f>HYPERLINK("http://drinc.ca.gov/DNN/Portals/0/SelfCert/3af91589-3aa8-44ea-a9a0-55dbba06ece1.pdf","Cert")</f>
        <v>Cert</v>
      </c>
      <c r="AL348" s="63" t="s">
        <v>793</v>
      </c>
    </row>
    <row r="349" spans="1:38" s="19" customFormat="1" ht="14.4" customHeight="1" x14ac:dyDescent="0.3">
      <c r="A349" s="12" t="s">
        <v>672</v>
      </c>
      <c r="B349" s="68" t="s">
        <v>38</v>
      </c>
      <c r="C349" s="73">
        <v>29230.333333333332</v>
      </c>
      <c r="D349" s="14">
        <v>4357</v>
      </c>
      <c r="E349" s="14">
        <v>21203</v>
      </c>
      <c r="F349" s="18">
        <v>0</v>
      </c>
      <c r="G349" s="68" t="s">
        <v>776</v>
      </c>
      <c r="H349" s="64">
        <v>0.24</v>
      </c>
      <c r="I349" s="64">
        <v>0.24</v>
      </c>
      <c r="J349" s="64">
        <v>0.24</v>
      </c>
      <c r="K349" s="71">
        <v>0.24327085752197708</v>
      </c>
      <c r="L349" s="65">
        <v>4590.5</v>
      </c>
      <c r="M349" s="65">
        <v>4590.5</v>
      </c>
      <c r="N349" s="13">
        <v>1495.8</v>
      </c>
      <c r="O349" s="13">
        <v>1343.7</v>
      </c>
      <c r="P349" s="30" t="s">
        <v>5</v>
      </c>
      <c r="Q349" s="13">
        <v>4590.5</v>
      </c>
      <c r="R349" s="13">
        <v>4123.6000000000004</v>
      </c>
      <c r="S349" s="23">
        <v>4357</v>
      </c>
      <c r="T349" s="76"/>
      <c r="U349" s="45">
        <v>21203</v>
      </c>
      <c r="V349" s="45">
        <v>21203</v>
      </c>
      <c r="W349" s="61">
        <v>21203</v>
      </c>
      <c r="X349" s="37" t="str">
        <f>HYPERLINK("http://www.drinc.ca.gov/DNN/Portals/0/SelfCert/edc44d77-11aa-439f-b0af-4c4de83daf6a.xlsx","WS1")</f>
        <v>WS1</v>
      </c>
      <c r="Y349" s="76"/>
      <c r="Z349" s="81" t="s">
        <v>13</v>
      </c>
      <c r="AA349" s="45">
        <v>-16846</v>
      </c>
      <c r="AB349" s="75">
        <v>0</v>
      </c>
      <c r="AC349" s="78" t="s">
        <v>14</v>
      </c>
      <c r="AD349" s="29"/>
      <c r="AE349" s="32"/>
      <c r="AF349" s="32"/>
      <c r="AG349" s="17"/>
      <c r="AH349" s="27"/>
      <c r="AI349" s="27"/>
      <c r="AJ349" s="11"/>
      <c r="AK349" s="58" t="str">
        <f>HYPERLINK("http://www.drinc.ca.gov/DNN/Portals/0/SelfCert/cc5e11b1-0253-41c4-ae76-b8c4df06ed01.pdf","Cert")</f>
        <v>Cert</v>
      </c>
      <c r="AL349" s="58" t="str">
        <f>HYPERLINK("http://www.drinc.ca.gov/DNN/Portals/0/SelfCert/ca2bdaaa-b9b1-4428-95cc-eb8eeaac6c17.doc","Analysis")</f>
        <v>Analysis</v>
      </c>
    </row>
    <row r="350" spans="1:38" s="19" customFormat="1" ht="14.4" customHeight="1" x14ac:dyDescent="0.3">
      <c r="A350" s="12" t="s">
        <v>625</v>
      </c>
      <c r="B350" s="68" t="s">
        <v>50</v>
      </c>
      <c r="C350" s="73">
        <v>10850.272727272728</v>
      </c>
      <c r="D350" s="14">
        <v>2546.1</v>
      </c>
      <c r="E350" s="14">
        <v>2546.1</v>
      </c>
      <c r="F350" s="18">
        <v>0</v>
      </c>
      <c r="G350" s="68" t="s">
        <v>776</v>
      </c>
      <c r="H350" s="64">
        <v>0.36</v>
      </c>
      <c r="I350" s="64">
        <v>0.33</v>
      </c>
      <c r="J350" s="64">
        <v>0.2</v>
      </c>
      <c r="K350" s="71" t="s">
        <v>822</v>
      </c>
      <c r="L350" s="65">
        <v>2369.1</v>
      </c>
      <c r="M350" s="65">
        <v>2369.1</v>
      </c>
      <c r="N350" s="13">
        <v>879.1</v>
      </c>
      <c r="O350" s="13">
        <v>780.2</v>
      </c>
      <c r="P350" s="30" t="s">
        <v>5</v>
      </c>
      <c r="Q350" s="13">
        <v>2697.9</v>
      </c>
      <c r="R350" s="13">
        <v>2394.4</v>
      </c>
      <c r="S350" s="34">
        <v>2546.1</v>
      </c>
      <c r="T350" s="41"/>
      <c r="U350" s="13">
        <v>2546.114</v>
      </c>
      <c r="V350" s="13">
        <v>2546.1</v>
      </c>
      <c r="W350" s="24">
        <v>2546.1</v>
      </c>
      <c r="X350" s="58" t="str">
        <f>HYPERLINK("http://drinc.ca.gov/DNN/Portals/0/SelfCert/e7e5a9c5-9897-4a50-af14-44c66466539d.xlsx","WS1")</f>
        <v>WS1</v>
      </c>
      <c r="Y350" s="10"/>
      <c r="Z350" s="26" t="s">
        <v>13</v>
      </c>
      <c r="AA350" s="31">
        <v>0</v>
      </c>
      <c r="AB350" s="15">
        <v>0</v>
      </c>
      <c r="AC350" s="30" t="s">
        <v>14</v>
      </c>
      <c r="AD350" s="29"/>
      <c r="AE350" s="32"/>
      <c r="AF350" s="32"/>
      <c r="AG350" s="17"/>
      <c r="AH350" s="36"/>
      <c r="AI350" s="36" t="str">
        <f>HYPERLINK("http://drinc.ca.gov/DNN/Portals/0/SelfCert/6dd6d281-2c14-4439-88f4-2d5f9622b82b.pdf","Legal")</f>
        <v>Legal</v>
      </c>
      <c r="AJ350" s="11"/>
      <c r="AK350" s="58" t="str">
        <f>HYPERLINK("http://drinc.ca.gov/DNN/Portals/0/SelfCert/202eff98-4ebf-4bd8-97c8-06089e62fec8.pdf","Cert")</f>
        <v>Cert</v>
      </c>
      <c r="AL350" s="58" t="str">
        <f>HYPERLINK("http://drinc.ca.gov/DNN/Portals/0/SelfCert/760b4740-3d4c-448e-ab98-b5e239ea18a2.doc","Analysis")</f>
        <v>Analysis</v>
      </c>
    </row>
    <row r="351" spans="1:38" s="19" customFormat="1" ht="14.4" customHeight="1" x14ac:dyDescent="0.3">
      <c r="A351" s="12" t="s">
        <v>546</v>
      </c>
      <c r="B351" s="68" t="s">
        <v>46</v>
      </c>
      <c r="C351" s="73">
        <v>20499</v>
      </c>
      <c r="D351" s="14">
        <v>2908.1</v>
      </c>
      <c r="E351" s="14">
        <v>5791</v>
      </c>
      <c r="F351" s="18">
        <v>0</v>
      </c>
      <c r="G351" s="68" t="s">
        <v>776</v>
      </c>
      <c r="H351" s="64">
        <v>0.28000000000000003</v>
      </c>
      <c r="I351" s="64">
        <v>0.21</v>
      </c>
      <c r="J351" s="64">
        <v>0.28999999999999998</v>
      </c>
      <c r="K351" s="71">
        <v>0.18375590889557369</v>
      </c>
      <c r="L351" s="65">
        <v>2984.7</v>
      </c>
      <c r="M351" s="65">
        <v>2984.7</v>
      </c>
      <c r="N351" s="13">
        <v>980.2</v>
      </c>
      <c r="O351" s="13">
        <v>915</v>
      </c>
      <c r="P351" s="30" t="s">
        <v>5</v>
      </c>
      <c r="Q351" s="13">
        <v>3008.1</v>
      </c>
      <c r="R351" s="13">
        <v>2808.1</v>
      </c>
      <c r="S351" s="23">
        <v>2908.1</v>
      </c>
      <c r="T351" s="41"/>
      <c r="U351" s="13">
        <v>5791</v>
      </c>
      <c r="V351" s="13">
        <v>5791</v>
      </c>
      <c r="W351" s="24">
        <v>5791</v>
      </c>
      <c r="X351" s="58" t="str">
        <f>HYPERLINK("http://www.drinc.ca.gov/DNN/Portals/0/SelfCert/a25ebb57-4f1b-4fb1-8d9b-0c6635b2b34a.xlsx","WS1")</f>
        <v>WS1</v>
      </c>
      <c r="Y351" s="10"/>
      <c r="Z351" s="26" t="s">
        <v>13</v>
      </c>
      <c r="AA351" s="13">
        <v>-2882.9</v>
      </c>
      <c r="AB351" s="66">
        <v>0</v>
      </c>
      <c r="AC351" s="30" t="s">
        <v>18</v>
      </c>
      <c r="AD351" s="29">
        <v>0.14000000000000001</v>
      </c>
      <c r="AE351" s="32"/>
      <c r="AF351" s="32"/>
      <c r="AG351" s="17"/>
      <c r="AH351" s="27"/>
      <c r="AI351" s="27"/>
      <c r="AJ351" s="11"/>
      <c r="AK351" s="58" t="str">
        <f>HYPERLINK("http://www.drinc.ca.gov/DNN/Portals/0/SelfCert/a2bb98d3-27d5-4d58-b586-d810b8b3adeb.pdf","Cert")</f>
        <v>Cert</v>
      </c>
      <c r="AL351" s="58" t="str">
        <f>HYPERLINK("http://www.drinc.ca.gov/DNN/Portals/0/SelfCert/61ed14bc-f393-41c8-bf97-feb7df41d36d.docx","Analysis")</f>
        <v>Analysis</v>
      </c>
    </row>
    <row r="352" spans="1:38" s="19" customFormat="1" ht="14.4" customHeight="1" x14ac:dyDescent="0.3">
      <c r="A352" s="12" t="s">
        <v>278</v>
      </c>
      <c r="B352" s="68" t="s">
        <v>38</v>
      </c>
      <c r="C352" s="73">
        <v>31384.583333333332</v>
      </c>
      <c r="D352" s="14">
        <v>5740.5</v>
      </c>
      <c r="E352" s="14">
        <v>8984</v>
      </c>
      <c r="F352" s="18">
        <v>0</v>
      </c>
      <c r="G352" s="68" t="s">
        <v>776</v>
      </c>
      <c r="H352" s="64">
        <v>0.28000000000000003</v>
      </c>
      <c r="I352" s="64">
        <v>0.28000000000000003</v>
      </c>
      <c r="J352" s="64">
        <v>0.28999999999999998</v>
      </c>
      <c r="K352" s="71">
        <v>0.22270742358078599</v>
      </c>
      <c r="L352" s="65">
        <v>6066.9</v>
      </c>
      <c r="M352" s="65">
        <v>6066.9</v>
      </c>
      <c r="N352" s="31">
        <v>6181</v>
      </c>
      <c r="O352" s="31">
        <v>5300</v>
      </c>
      <c r="P352" s="30" t="s">
        <v>4</v>
      </c>
      <c r="Q352" s="31">
        <v>6181</v>
      </c>
      <c r="R352" s="31">
        <v>5300</v>
      </c>
      <c r="S352" s="34">
        <v>5740.5</v>
      </c>
      <c r="T352" s="41"/>
      <c r="U352" s="31">
        <v>8984</v>
      </c>
      <c r="V352" s="31">
        <v>7795</v>
      </c>
      <c r="W352" s="35">
        <v>8984</v>
      </c>
      <c r="X352" s="58" t="str">
        <f>HYPERLINK("http://drinc.ca.gov/DNN/Portals/0/SelfCert/67be99da-3588-411b-9c3d-a67622abad09.xlsx","WS1")</f>
        <v>WS1</v>
      </c>
      <c r="Y352" s="10" t="s">
        <v>279</v>
      </c>
      <c r="Z352" s="26" t="s">
        <v>13</v>
      </c>
      <c r="AA352" s="31">
        <v>-3243.5</v>
      </c>
      <c r="AB352" s="66">
        <v>0</v>
      </c>
      <c r="AC352" s="30" t="s">
        <v>14</v>
      </c>
      <c r="AD352" s="29" t="s">
        <v>280</v>
      </c>
      <c r="AE352" s="32"/>
      <c r="AF352" s="32"/>
      <c r="AG352" s="17"/>
      <c r="AH352" s="36" t="str">
        <f>HYPERLINK("http://drinc.ca.gov/DNN/Portals/0/SelfCert/f70882e5-262c-408b-a454-ef6e63abb7ff.xlsx","WS2")</f>
        <v>WS2</v>
      </c>
      <c r="AI352" s="36"/>
      <c r="AJ352" s="11"/>
      <c r="AK352" s="58" t="str">
        <f>HYPERLINK("http://drinc.ca.gov/DNN/Portals/0/SelfCert/28e7b776-7705-4178-b51b-f450bbad4154.pdf","Cert")</f>
        <v>Cert</v>
      </c>
      <c r="AL352" s="58" t="str">
        <f>HYPERLINK("http://drinc.ca.gov/DNN/Portals/0/SelfCert/dc4e5efc-7d96-41c1-a16e-039b83f09b84.docx","Analysis")</f>
        <v>Analysis</v>
      </c>
    </row>
    <row r="353" spans="1:38" s="19" customFormat="1" ht="14.4" customHeight="1" x14ac:dyDescent="0.3">
      <c r="A353" s="12" t="s">
        <v>133</v>
      </c>
      <c r="B353" s="68" t="s">
        <v>46</v>
      </c>
      <c r="C353" s="73">
        <v>143668.33333333334</v>
      </c>
      <c r="D353" s="14">
        <v>42779</v>
      </c>
      <c r="E353" s="14">
        <v>39000</v>
      </c>
      <c r="F353" s="18">
        <v>0.09</v>
      </c>
      <c r="G353" s="68" t="s">
        <v>776</v>
      </c>
      <c r="H353" s="64">
        <v>0.36</v>
      </c>
      <c r="I353" s="64">
        <v>0.31</v>
      </c>
      <c r="J353" s="64">
        <v>0.26</v>
      </c>
      <c r="K353" s="71">
        <v>0.24476502641976217</v>
      </c>
      <c r="L353" s="65">
        <v>44658.8</v>
      </c>
      <c r="M353" s="65">
        <v>44658.8</v>
      </c>
      <c r="N353" s="13">
        <v>42359</v>
      </c>
      <c r="O353" s="13">
        <v>43199</v>
      </c>
      <c r="P353" s="30" t="s">
        <v>4</v>
      </c>
      <c r="Q353" s="13">
        <v>42359</v>
      </c>
      <c r="R353" s="13">
        <v>43199</v>
      </c>
      <c r="S353" s="34">
        <v>42779</v>
      </c>
      <c r="T353" s="41"/>
      <c r="U353" s="13">
        <v>42457</v>
      </c>
      <c r="V353" s="13">
        <v>43728</v>
      </c>
      <c r="W353" s="24">
        <v>39000</v>
      </c>
      <c r="X353" s="58" t="str">
        <f>HYPERLINK("http://drinc.ca.gov/DNN/Portals/0/SelfCert/7fb8cb0d-d91a-4dff-b755-41c65abf7120.xlsx","WS1")</f>
        <v>WS1</v>
      </c>
      <c r="Y353" s="10"/>
      <c r="Z353" s="26" t="s">
        <v>13</v>
      </c>
      <c r="AA353" s="31">
        <v>3779</v>
      </c>
      <c r="AB353" s="15">
        <v>0.09</v>
      </c>
      <c r="AC353" s="30" t="s">
        <v>14</v>
      </c>
      <c r="AD353" s="29"/>
      <c r="AE353" s="32"/>
      <c r="AF353" s="32"/>
      <c r="AG353" s="17"/>
      <c r="AH353" s="36"/>
      <c r="AI353" s="36"/>
      <c r="AJ353" s="11"/>
      <c r="AK353" s="58" t="str">
        <f>HYPERLINK("http://drinc.ca.gov/DNN/Portals/0/SelfCert/eca4c570-58c4-4f43-b129-82d3e4bc30ee.pdf","Cert")</f>
        <v>Cert</v>
      </c>
      <c r="AL353" s="58" t="str">
        <f>HYPERLINK("http://drinc.ca.gov/DNN/Portals/0/SelfCert/c79695b4-e3a3-42ab-8286-7facfa28e54b.xlsx","Analysis")</f>
        <v>Analysis</v>
      </c>
    </row>
    <row r="354" spans="1:38" s="19" customFormat="1" ht="14.4" customHeight="1" x14ac:dyDescent="0.3">
      <c r="A354" s="12" t="s">
        <v>349</v>
      </c>
      <c r="B354" s="68" t="s">
        <v>16</v>
      </c>
      <c r="C354" s="73">
        <v>33300</v>
      </c>
      <c r="D354" s="14">
        <v>5925.5</v>
      </c>
      <c r="E354" s="14">
        <v>5241</v>
      </c>
      <c r="F354" s="18">
        <v>0.12</v>
      </c>
      <c r="G354" s="68" t="s">
        <v>776</v>
      </c>
      <c r="H354" s="64">
        <v>0.28000000000000003</v>
      </c>
      <c r="I354" s="64">
        <v>0.26</v>
      </c>
      <c r="J354" s="64">
        <v>0.23</v>
      </c>
      <c r="K354" s="71">
        <v>0.18371293881991324</v>
      </c>
      <c r="L354" s="65">
        <v>6021.9</v>
      </c>
      <c r="M354" s="65">
        <v>6021.9</v>
      </c>
      <c r="N354" s="13">
        <v>6020.8</v>
      </c>
      <c r="O354" s="13">
        <v>5830.3</v>
      </c>
      <c r="P354" s="30" t="s">
        <v>4</v>
      </c>
      <c r="Q354" s="13">
        <v>6020.8</v>
      </c>
      <c r="R354" s="13">
        <v>5830.3</v>
      </c>
      <c r="S354" s="23">
        <v>5925.5</v>
      </c>
      <c r="T354" s="41"/>
      <c r="U354" s="13">
        <v>5467</v>
      </c>
      <c r="V354" s="13">
        <v>5190</v>
      </c>
      <c r="W354" s="24">
        <v>5241</v>
      </c>
      <c r="X354" s="58" t="str">
        <f>HYPERLINK("http://www.drinc.ca.gov/DNN/Portals/0/SelfCert/fe4e6d7d-b556-4a2e-9ca1-bcb2f10e6881.xlsx","WS1")</f>
        <v>WS1</v>
      </c>
      <c r="Y354" s="10"/>
      <c r="Z354" s="26" t="s">
        <v>13</v>
      </c>
      <c r="AA354" s="13">
        <v>684.5</v>
      </c>
      <c r="AB354" s="15">
        <v>0.12</v>
      </c>
      <c r="AC354" s="30" t="s">
        <v>18</v>
      </c>
      <c r="AD354" s="29" t="s">
        <v>743</v>
      </c>
      <c r="AE354" s="32"/>
      <c r="AF354" s="32"/>
      <c r="AG354" s="17"/>
      <c r="AH354" s="27"/>
      <c r="AI354" s="27"/>
      <c r="AJ354" s="11"/>
      <c r="AK354" s="58" t="str">
        <f>HYPERLINK("http://www.drinc.ca.gov/DNN/Portals/0/SelfCert/c5746c83-8745-42ef-9a4d-69ad38527e7f.pdf","Cert")</f>
        <v>Cert</v>
      </c>
      <c r="AL354" s="58" t="str">
        <f>HYPERLINK("http://www.drinc.ca.gov/DNN/Portals/0/SelfCert/edd546e1-5458-4266-98bf-4f0286418f3d.xls","Analysis")</f>
        <v>Analysis</v>
      </c>
    </row>
    <row r="355" spans="1:38" s="19" customFormat="1" ht="14.4" customHeight="1" x14ac:dyDescent="0.3">
      <c r="A355" s="12" t="s">
        <v>337</v>
      </c>
      <c r="B355" s="68" t="s">
        <v>50</v>
      </c>
      <c r="C355" s="73">
        <v>9615</v>
      </c>
      <c r="D355" s="14">
        <v>1309.2</v>
      </c>
      <c r="E355" s="14">
        <v>1351</v>
      </c>
      <c r="F355" s="18">
        <v>0</v>
      </c>
      <c r="G355" s="68" t="s">
        <v>776</v>
      </c>
      <c r="H355" s="64">
        <v>0.24</v>
      </c>
      <c r="I355" s="64">
        <v>0.21</v>
      </c>
      <c r="J355" s="64">
        <v>0.37</v>
      </c>
      <c r="K355" s="71">
        <v>0.45479038847319642</v>
      </c>
      <c r="L355" s="65">
        <v>1417.8</v>
      </c>
      <c r="M355" s="65">
        <v>1417.8</v>
      </c>
      <c r="N355" s="13">
        <v>1419.4</v>
      </c>
      <c r="O355" s="13">
        <v>1198.9000000000001</v>
      </c>
      <c r="P355" s="30" t="s">
        <v>4</v>
      </c>
      <c r="Q355" s="13">
        <v>1419.4</v>
      </c>
      <c r="R355" s="13">
        <v>1198.9000000000001</v>
      </c>
      <c r="S355" s="23">
        <v>1309.2</v>
      </c>
      <c r="T355" s="41"/>
      <c r="U355" s="13">
        <v>1706.6479999999999</v>
      </c>
      <c r="V355" s="13">
        <v>1528.8</v>
      </c>
      <c r="W355" s="24">
        <v>1351</v>
      </c>
      <c r="X355" s="58" t="str">
        <f>HYPERLINK("http://drinc.ca.gov/DNN/Portals/0/SelfCert/23850447-09a2-4e84-a33b-33537b1132b0.xlsx","WS1")</f>
        <v>WS1</v>
      </c>
      <c r="Y355" s="10"/>
      <c r="Z355" s="26" t="s">
        <v>13</v>
      </c>
      <c r="AA355" s="13">
        <v>-41.8</v>
      </c>
      <c r="AB355" s="66">
        <v>0</v>
      </c>
      <c r="AC355" s="30" t="s">
        <v>18</v>
      </c>
      <c r="AD355" s="29" t="s">
        <v>338</v>
      </c>
      <c r="AE355" s="32"/>
      <c r="AF355" s="32"/>
      <c r="AG355" s="17"/>
      <c r="AH355" s="27"/>
      <c r="AI355" s="27"/>
      <c r="AJ355" s="11"/>
      <c r="AK355" s="58" t="str">
        <f>HYPERLINK("http://drinc.ca.gov/DNN/Portals/0/SelfCert/49704d11-921a-4f06-9026-2e52435c1120.pdf","Cert")</f>
        <v>Cert</v>
      </c>
      <c r="AL355" s="58" t="str">
        <f>HYPERLINK("http://drinc.ca.gov/DNN/Portals/0/SelfCert/5be53dfa-6885-4dd6-99dc-7c274fa6fa49.xlsx","Analysis")</f>
        <v>Analysis</v>
      </c>
    </row>
    <row r="356" spans="1:38" s="19" customFormat="1" ht="14.4" customHeight="1" x14ac:dyDescent="0.3">
      <c r="A356" s="12" t="s">
        <v>549</v>
      </c>
      <c r="B356" s="68" t="s">
        <v>27</v>
      </c>
      <c r="C356" s="73">
        <v>14876.083333333334</v>
      </c>
      <c r="D356" s="14">
        <v>3696.5</v>
      </c>
      <c r="E356" s="14">
        <v>5524</v>
      </c>
      <c r="F356" s="18">
        <v>0</v>
      </c>
      <c r="G356" s="68" t="s">
        <v>776</v>
      </c>
      <c r="H356" s="64">
        <v>0.32</v>
      </c>
      <c r="I356" s="64">
        <v>0.28999999999999998</v>
      </c>
      <c r="J356" s="64">
        <v>0.37</v>
      </c>
      <c r="K356" s="71">
        <v>0.24137931034482762</v>
      </c>
      <c r="L356" s="65">
        <v>3942.9</v>
      </c>
      <c r="M356" s="65">
        <v>3942.9</v>
      </c>
      <c r="N356" s="13">
        <v>1286</v>
      </c>
      <c r="O356" s="13">
        <v>1123</v>
      </c>
      <c r="P356" s="30" t="s">
        <v>5</v>
      </c>
      <c r="Q356" s="13">
        <v>3946.6</v>
      </c>
      <c r="R356" s="13">
        <v>3446.4</v>
      </c>
      <c r="S356" s="23">
        <v>3696.5</v>
      </c>
      <c r="T356" s="41"/>
      <c r="U356" s="13">
        <v>5524</v>
      </c>
      <c r="V356" s="13">
        <v>5524</v>
      </c>
      <c r="W356" s="24">
        <v>5524</v>
      </c>
      <c r="X356" s="58" t="str">
        <f>HYPERLINK("http://www.drinc.ca.gov/DNN/Portals/0/SelfCert/1e609a7e-c0bc-4d7f-b245-a268b8614b11.xlsx","WS1")</f>
        <v>WS1</v>
      </c>
      <c r="Y356" s="10"/>
      <c r="Z356" s="26" t="s">
        <v>13</v>
      </c>
      <c r="AA356" s="13">
        <v>-1827.5</v>
      </c>
      <c r="AB356" s="66">
        <v>0</v>
      </c>
      <c r="AC356" s="30" t="s">
        <v>18</v>
      </c>
      <c r="AD356" s="29" t="s">
        <v>550</v>
      </c>
      <c r="AE356" s="32"/>
      <c r="AF356" s="32"/>
      <c r="AG356" s="17"/>
      <c r="AH356" s="27"/>
      <c r="AI356" s="27"/>
      <c r="AJ356" s="11"/>
      <c r="AK356" s="58" t="str">
        <f>HYPERLINK("http://www.drinc.ca.gov/DNN/Portals/0/SelfCert/2b35c4ea-693e-4fd0-8d76-7acb3d1a3b34.pdf","Cert")</f>
        <v>Cert</v>
      </c>
      <c r="AL356" s="58" t="str">
        <f>HYPERLINK("http://www.drinc.ca.gov/DNN/Portals/0/SelfCert/e1e0ec5b-1e82-4722-bac8-9e9d31330111.pdf","Analysis")</f>
        <v>Analysis</v>
      </c>
    </row>
    <row r="357" spans="1:38" s="19" customFormat="1" ht="14.4" customHeight="1" x14ac:dyDescent="0.3">
      <c r="A357" s="12" t="s">
        <v>577</v>
      </c>
      <c r="B357" s="68" t="s">
        <v>50</v>
      </c>
      <c r="C357" s="73">
        <v>107682</v>
      </c>
      <c r="D357" s="14">
        <v>20917</v>
      </c>
      <c r="E357" s="14">
        <v>29527</v>
      </c>
      <c r="F357" s="18">
        <v>0</v>
      </c>
      <c r="G357" s="68" t="s">
        <v>776</v>
      </c>
      <c r="H357" s="64">
        <v>0.2</v>
      </c>
      <c r="I357" s="64">
        <v>0.19</v>
      </c>
      <c r="J357" s="64">
        <v>0.22</v>
      </c>
      <c r="K357" s="71">
        <v>0.15037593984962405</v>
      </c>
      <c r="L357" s="65">
        <v>22246.3</v>
      </c>
      <c r="M357" s="65">
        <v>22246.3</v>
      </c>
      <c r="N357" s="13">
        <v>22250</v>
      </c>
      <c r="O357" s="13">
        <v>19584</v>
      </c>
      <c r="P357" s="30" t="s">
        <v>4</v>
      </c>
      <c r="Q357" s="13">
        <v>22250</v>
      </c>
      <c r="R357" s="13">
        <v>19584</v>
      </c>
      <c r="S357" s="23">
        <v>20917</v>
      </c>
      <c r="T357" s="41"/>
      <c r="U357" s="13">
        <v>38807</v>
      </c>
      <c r="V357" s="13">
        <v>28463</v>
      </c>
      <c r="W357" s="24">
        <v>29527</v>
      </c>
      <c r="X357" s="58" t="str">
        <f>HYPERLINK("https://drinc.ca.gov/DNN/Portals/0/SelfCert/6d082709-ada1-48fc-a9b2-c5578555acc0.xlsx","WS1")</f>
        <v>WS1</v>
      </c>
      <c r="Y357" s="10"/>
      <c r="Z357" s="26" t="s">
        <v>13</v>
      </c>
      <c r="AA357" s="13">
        <v>-8610</v>
      </c>
      <c r="AB357" s="66">
        <v>0</v>
      </c>
      <c r="AC357" s="30" t="s">
        <v>14</v>
      </c>
      <c r="AD357" s="29" t="s">
        <v>578</v>
      </c>
      <c r="AE357" s="32"/>
      <c r="AF357" s="32"/>
      <c r="AG357" s="17"/>
      <c r="AH357" s="27"/>
      <c r="AI357" s="27"/>
      <c r="AJ357" s="11"/>
      <c r="AK357" s="58" t="str">
        <f>HYPERLINK("https://drinc.ca.gov/DNN/Portals/0/SelfCert/f263723b-8d2a-4f3a-a611-856091a40103.pdf","Cert")</f>
        <v>Cert</v>
      </c>
      <c r="AL357" s="58" t="str">
        <f>HYPERLINK("https://drinc.ca.gov/DNN/Portals/0/SelfCert/258914fa-e488-4421-93e1-beb2a2024060.docx","Analysis")</f>
        <v>Analysis</v>
      </c>
    </row>
    <row r="358" spans="1:38" s="19" customFormat="1" ht="14.4" customHeight="1" x14ac:dyDescent="0.3">
      <c r="A358" s="12" t="s">
        <v>423</v>
      </c>
      <c r="B358" s="68" t="s">
        <v>38</v>
      </c>
      <c r="C358" s="73">
        <v>17898</v>
      </c>
      <c r="D358" s="14">
        <v>1880.5</v>
      </c>
      <c r="E358" s="14">
        <v>1781</v>
      </c>
      <c r="F358" s="18">
        <v>0.05</v>
      </c>
      <c r="G358" s="68" t="s">
        <v>776</v>
      </c>
      <c r="H358" s="64">
        <v>0.16</v>
      </c>
      <c r="I358" s="64">
        <v>0.14000000000000001</v>
      </c>
      <c r="J358" s="64">
        <v>0.26</v>
      </c>
      <c r="K358" s="71" t="s">
        <v>822</v>
      </c>
      <c r="L358" s="65">
        <v>1597.6</v>
      </c>
      <c r="M358" s="65">
        <v>1597.6</v>
      </c>
      <c r="N358" s="13">
        <v>1967</v>
      </c>
      <c r="O358" s="13">
        <v>1794</v>
      </c>
      <c r="P358" s="30" t="s">
        <v>4</v>
      </c>
      <c r="Q358" s="13">
        <v>1967</v>
      </c>
      <c r="R358" s="13">
        <v>1794</v>
      </c>
      <c r="S358" s="23">
        <v>1880.5</v>
      </c>
      <c r="T358" s="41"/>
      <c r="U358" s="13">
        <v>1615</v>
      </c>
      <c r="V358" s="13">
        <v>1696</v>
      </c>
      <c r="W358" s="24">
        <v>1781</v>
      </c>
      <c r="X358" s="58" t="str">
        <f>HYPERLINK("http://drinc.ca.gov/DNN/Portals/0/SelfCert/9c844301-cea9-4b2a-ae2a-ffb27a2a4883.xlsx","WS1")</f>
        <v>WS1</v>
      </c>
      <c r="Y358" s="10"/>
      <c r="Z358" s="26" t="s">
        <v>13</v>
      </c>
      <c r="AA358" s="13">
        <v>99.5</v>
      </c>
      <c r="AB358" s="15">
        <v>0.05</v>
      </c>
      <c r="AC358" s="30" t="s">
        <v>18</v>
      </c>
      <c r="AD358" s="29" t="s">
        <v>693</v>
      </c>
      <c r="AE358" s="32"/>
      <c r="AF358" s="32"/>
      <c r="AG358" s="17"/>
      <c r="AH358" s="27"/>
      <c r="AI358" s="27"/>
      <c r="AJ358" s="11"/>
      <c r="AK358" s="58" t="str">
        <f>HYPERLINK("http://drinc.ca.gov/DNN/Portals/0/SelfCert/84f2c729-08cd-466c-99e9-78c3f1c98b5a.pdf","Cert")</f>
        <v>Cert</v>
      </c>
      <c r="AL358" s="58" t="str">
        <f>HYPERLINK("http://drinc.ca.gov/DNN/Portals/0/SelfCert/275541d3-18ca-4b1e-ad71-22fa2902009d.docx","Analysis")</f>
        <v>Analysis</v>
      </c>
    </row>
    <row r="359" spans="1:38" s="19" customFormat="1" ht="14.4" customHeight="1" x14ac:dyDescent="0.3">
      <c r="A359" s="12" t="s">
        <v>595</v>
      </c>
      <c r="B359" s="68" t="s">
        <v>58</v>
      </c>
      <c r="C359" s="73">
        <v>11740.333333333334</v>
      </c>
      <c r="D359" s="14">
        <v>2005</v>
      </c>
      <c r="E359" s="14">
        <v>4687</v>
      </c>
      <c r="F359" s="18">
        <v>0</v>
      </c>
      <c r="G359" s="68" t="s">
        <v>776</v>
      </c>
      <c r="H359" s="64">
        <v>0.24</v>
      </c>
      <c r="I359" s="64">
        <v>0.24</v>
      </c>
      <c r="J359" s="64">
        <v>0.27</v>
      </c>
      <c r="K359" s="71">
        <v>0.20843813718401538</v>
      </c>
      <c r="L359" s="65">
        <v>2118.5</v>
      </c>
      <c r="M359" s="65">
        <v>2118.5</v>
      </c>
      <c r="N359" s="13">
        <v>2187</v>
      </c>
      <c r="O359" s="13">
        <v>1823</v>
      </c>
      <c r="P359" s="30" t="s">
        <v>4</v>
      </c>
      <c r="Q359" s="13">
        <v>2187</v>
      </c>
      <c r="R359" s="13">
        <v>1823</v>
      </c>
      <c r="S359" s="23">
        <v>2005</v>
      </c>
      <c r="T359" s="41"/>
      <c r="U359" s="13">
        <v>4687</v>
      </c>
      <c r="V359" s="13">
        <v>2812</v>
      </c>
      <c r="W359" s="24">
        <v>4687</v>
      </c>
      <c r="X359" s="58" t="str">
        <f>HYPERLINK("http://drinc.ca.gov/DNN/Portals/0/SelfCert/a68bd4e9-0b4d-476b-80d5-2298bc7b3f1b.xlsx","WS1")</f>
        <v>WS1</v>
      </c>
      <c r="Y359" s="10"/>
      <c r="Z359" s="26" t="s">
        <v>13</v>
      </c>
      <c r="AA359" s="13">
        <v>-2682</v>
      </c>
      <c r="AB359" s="66">
        <v>0</v>
      </c>
      <c r="AC359" s="30" t="s">
        <v>14</v>
      </c>
      <c r="AD359" s="29"/>
      <c r="AE359" s="32"/>
      <c r="AF359" s="32"/>
      <c r="AG359" s="17"/>
      <c r="AH359" s="27"/>
      <c r="AI359" s="27"/>
      <c r="AJ359" s="11"/>
      <c r="AK359" s="58" t="str">
        <f>HYPERLINK("http://drinc.ca.gov/DNN/Portals/0/SelfCert/8b0c0fab-f27d-4294-9587-29fe0fd3ca19.pdf","Cert")</f>
        <v>Cert</v>
      </c>
      <c r="AL359" s="58" t="str">
        <f>HYPERLINK("http://drinc.ca.gov/DNN/Portals/0/SelfCert/e15fdd9e-2d98-473e-92fc-6c27152bac70.xlsx","Analysis")</f>
        <v>Analysis</v>
      </c>
    </row>
    <row r="360" spans="1:38" s="19" customFormat="1" ht="14.4" customHeight="1" x14ac:dyDescent="0.3">
      <c r="A360" s="12" t="s">
        <v>424</v>
      </c>
      <c r="B360" s="68" t="s">
        <v>46</v>
      </c>
      <c r="C360" s="73">
        <v>11685</v>
      </c>
      <c r="D360" s="14">
        <v>3797.7</v>
      </c>
      <c r="E360" s="14">
        <v>6138</v>
      </c>
      <c r="F360" s="18">
        <v>0</v>
      </c>
      <c r="G360" s="68" t="s">
        <v>776</v>
      </c>
      <c r="H360" s="64">
        <v>0.36</v>
      </c>
      <c r="I360" s="64">
        <v>0.34</v>
      </c>
      <c r="J360" s="64">
        <v>0.41</v>
      </c>
      <c r="K360" s="71">
        <v>0.31297794867673512</v>
      </c>
      <c r="L360" s="65">
        <v>4123.8999999999996</v>
      </c>
      <c r="M360" s="65">
        <v>4123.8999999999996</v>
      </c>
      <c r="N360" s="13">
        <v>1345</v>
      </c>
      <c r="O360" s="13">
        <v>1130</v>
      </c>
      <c r="P360" s="30" t="s">
        <v>5</v>
      </c>
      <c r="Q360" s="13">
        <v>4127.6000000000004</v>
      </c>
      <c r="R360" s="13">
        <v>3467.8</v>
      </c>
      <c r="S360" s="23">
        <v>3797.7</v>
      </c>
      <c r="T360" s="41"/>
      <c r="U360" s="13">
        <v>6138</v>
      </c>
      <c r="V360" s="13">
        <v>6138</v>
      </c>
      <c r="W360" s="24">
        <v>6138</v>
      </c>
      <c r="X360" s="58" t="str">
        <f>HYPERLINK("http://drinc.ca.gov/DNN/Portals/0/SelfCert/54231d92-a67a-4f97-afd1-f60005aa2bc2.xlsx","WS1")</f>
        <v>WS1</v>
      </c>
      <c r="Y360" s="10"/>
      <c r="Z360" s="26" t="s">
        <v>13</v>
      </c>
      <c r="AA360" s="13">
        <v>-2340.3000000000002</v>
      </c>
      <c r="AB360" s="66">
        <v>0</v>
      </c>
      <c r="AC360" s="30" t="s">
        <v>14</v>
      </c>
      <c r="AD360" s="29"/>
      <c r="AE360" s="32"/>
      <c r="AF360" s="32"/>
      <c r="AG360" s="17"/>
      <c r="AH360" s="27" t="str">
        <f>HYPERLINK("http://drinc.ca.gov/DNN/Portals/0/SelfCert/07037944-5a8f-401d-960a-bfa77001ba0b.xlsx","WS2")</f>
        <v>WS2</v>
      </c>
      <c r="AI360" s="27"/>
      <c r="AJ360" s="11"/>
      <c r="AK360" s="58" t="str">
        <f>HYPERLINK("http://drinc.ca.gov/DNN/Portals/0/SelfCert/12b6d1e7-7259-4296-8fd2-46d7b159d827.pdf","Cert")</f>
        <v>Cert</v>
      </c>
      <c r="AL360" s="58" t="str">
        <f>HYPERLINK("http://drinc.ca.gov/DNN/Portals/0/SelfCert/d723ea47-f173-443c-9da5-f7d7f5170ffe.xlsx","Analysis")</f>
        <v>Analysis</v>
      </c>
    </row>
    <row r="361" spans="1:38" s="19" customFormat="1" ht="14.4" customHeight="1" x14ac:dyDescent="0.3">
      <c r="A361" s="12" t="s">
        <v>170</v>
      </c>
      <c r="B361" s="68" t="s">
        <v>46</v>
      </c>
      <c r="C361" s="73">
        <v>19771</v>
      </c>
      <c r="D361" s="14">
        <v>3942.9</v>
      </c>
      <c r="E361" s="14">
        <v>12885</v>
      </c>
      <c r="F361" s="18">
        <v>0</v>
      </c>
      <c r="G361" s="69" t="s">
        <v>831</v>
      </c>
      <c r="H361" s="64">
        <v>0.28000000000000003</v>
      </c>
      <c r="I361" s="64">
        <v>0.25</v>
      </c>
      <c r="J361" s="64">
        <v>0.23</v>
      </c>
      <c r="K361" s="71">
        <v>0.2302526889885177</v>
      </c>
      <c r="L361" s="65">
        <v>4049.2</v>
      </c>
      <c r="M361" s="65">
        <v>4049.2</v>
      </c>
      <c r="N361" s="13">
        <v>1319.4</v>
      </c>
      <c r="O361" s="13">
        <v>1250.2</v>
      </c>
      <c r="P361" s="30" t="s">
        <v>5</v>
      </c>
      <c r="Q361" s="13">
        <v>4049.1</v>
      </c>
      <c r="R361" s="13">
        <v>3836.7</v>
      </c>
      <c r="S361" s="23">
        <v>3942.9</v>
      </c>
      <c r="T361" s="41"/>
      <c r="U361" s="13">
        <v>12885</v>
      </c>
      <c r="V361" s="13">
        <v>12885</v>
      </c>
      <c r="W361" s="24">
        <v>12885</v>
      </c>
      <c r="X361" s="58" t="str">
        <f>HYPERLINK("https://drinc.ca.gov/DNN/Portals/0/SelfCert/6c3a933c-2d8f-4d2d-b639-7f83b06f32f2.xlsx","WS1")</f>
        <v>WS1</v>
      </c>
      <c r="Y361" s="10" t="s">
        <v>171</v>
      </c>
      <c r="Z361" s="26" t="s">
        <v>13</v>
      </c>
      <c r="AA361" s="13">
        <v>-8942.1</v>
      </c>
      <c r="AB361" s="66">
        <v>0</v>
      </c>
      <c r="AC361" s="30" t="s">
        <v>18</v>
      </c>
      <c r="AD361" s="29" t="s">
        <v>172</v>
      </c>
      <c r="AE361" s="32"/>
      <c r="AF361" s="32"/>
      <c r="AG361" s="17"/>
      <c r="AH361" s="27"/>
      <c r="AI361" s="27"/>
      <c r="AJ361" s="11"/>
      <c r="AK361" s="58" t="str">
        <f>HYPERLINK("https://drinc.ca.gov/DNN/Portals/0/SelfCert/c23a6013-30be-4470-8308-336b90e09a07.pdf","Cert")</f>
        <v>Cert</v>
      </c>
      <c r="AL361" s="56" t="str">
        <f>HYPERLINK("http://drinc.ca.gov/DNN/Portals/0/SelfCert/0ade8371-94b9-4df6-adfd-8da12c8d56a9.pdf","Analysis")</f>
        <v>Analysis</v>
      </c>
    </row>
    <row r="362" spans="1:38" s="19" customFormat="1" ht="14.4" customHeight="1" x14ac:dyDescent="0.3">
      <c r="A362" s="12" t="s">
        <v>391</v>
      </c>
      <c r="B362" s="68" t="s">
        <v>16</v>
      </c>
      <c r="C362" s="73">
        <v>15543</v>
      </c>
      <c r="D362" s="14">
        <v>3017.5</v>
      </c>
      <c r="E362" s="14">
        <v>3018</v>
      </c>
      <c r="F362" s="18">
        <v>0</v>
      </c>
      <c r="G362" s="68" t="s">
        <v>776</v>
      </c>
      <c r="H362" s="64">
        <v>0.32</v>
      </c>
      <c r="I362" s="64">
        <v>0.31</v>
      </c>
      <c r="J362" s="64">
        <v>0.25</v>
      </c>
      <c r="K362" s="71">
        <v>0.31416975975853489</v>
      </c>
      <c r="L362" s="65">
        <v>3001</v>
      </c>
      <c r="M362" s="65">
        <v>3001</v>
      </c>
      <c r="N362" s="13">
        <v>3001</v>
      </c>
      <c r="O362" s="13">
        <v>3034</v>
      </c>
      <c r="P362" s="30" t="s">
        <v>4</v>
      </c>
      <c r="Q362" s="13">
        <v>3001</v>
      </c>
      <c r="R362" s="13">
        <v>3034</v>
      </c>
      <c r="S362" s="23">
        <v>3017.5</v>
      </c>
      <c r="T362" s="41" t="s">
        <v>392</v>
      </c>
      <c r="U362" s="13">
        <v>3018</v>
      </c>
      <c r="V362" s="13">
        <v>3018</v>
      </c>
      <c r="W362" s="24">
        <v>3018</v>
      </c>
      <c r="X362" s="58" t="str">
        <f>HYPERLINK("http://drinc.ca.gov/DNN/Portals/0/SelfCert/835598fe-389d-4421-bcc9-445f9aeb1709.xlsx","WS1")</f>
        <v>WS1</v>
      </c>
      <c r="Y362" s="10" t="s">
        <v>393</v>
      </c>
      <c r="Z362" s="26" t="s">
        <v>13</v>
      </c>
      <c r="AA362" s="13">
        <v>-0.5</v>
      </c>
      <c r="AB362" s="15">
        <v>0</v>
      </c>
      <c r="AC362" s="30" t="s">
        <v>18</v>
      </c>
      <c r="AD362" s="29" t="s">
        <v>394</v>
      </c>
      <c r="AE362" s="32"/>
      <c r="AF362" s="32"/>
      <c r="AG362" s="17"/>
      <c r="AH362" s="27"/>
      <c r="AI362" s="27"/>
      <c r="AJ362" s="11"/>
      <c r="AK362" s="58" t="str">
        <f>HYPERLINK("http://drinc.ca.gov/DNN/Portals/0/SelfCert/01801c56-b9e5-4830-8957-68ad05262e0b.pdf","Cert")</f>
        <v>Cert</v>
      </c>
      <c r="AL362" s="63" t="s">
        <v>793</v>
      </c>
    </row>
    <row r="363" spans="1:38" s="19" customFormat="1" ht="14.4" customHeight="1" x14ac:dyDescent="0.3">
      <c r="A363" s="12" t="s">
        <v>286</v>
      </c>
      <c r="B363" s="68" t="s">
        <v>27</v>
      </c>
      <c r="C363" s="73">
        <v>75667.25</v>
      </c>
      <c r="D363" s="14">
        <v>14534.5</v>
      </c>
      <c r="E363" s="14">
        <v>15450</v>
      </c>
      <c r="F363" s="18">
        <v>0</v>
      </c>
      <c r="G363" s="68" t="s">
        <v>776</v>
      </c>
      <c r="H363" s="64">
        <v>0.32</v>
      </c>
      <c r="I363" s="64">
        <v>0.27</v>
      </c>
      <c r="J363" s="64">
        <v>0.31</v>
      </c>
      <c r="K363" s="71">
        <v>0.28408916437287213</v>
      </c>
      <c r="L363" s="65">
        <v>15755.2</v>
      </c>
      <c r="M363" s="65">
        <v>15755.2</v>
      </c>
      <c r="N363" s="13">
        <v>15751</v>
      </c>
      <c r="O363" s="13">
        <v>13318</v>
      </c>
      <c r="P363" s="30" t="s">
        <v>4</v>
      </c>
      <c r="Q363" s="13">
        <v>15751</v>
      </c>
      <c r="R363" s="13">
        <v>13318</v>
      </c>
      <c r="S363" s="23">
        <v>14534.5</v>
      </c>
      <c r="T363" s="41"/>
      <c r="U363" s="13">
        <v>16800</v>
      </c>
      <c r="V363" s="13">
        <v>16800</v>
      </c>
      <c r="W363" s="24">
        <v>15450</v>
      </c>
      <c r="X363" s="58" t="str">
        <f>HYPERLINK("http://drinc.ca.gov/DNN/Portals/0/SelfCert/63fafacf-e6c8-4964-a80c-e212c97e6b29.xlsx","WS1")</f>
        <v>WS1</v>
      </c>
      <c r="Y363" s="10"/>
      <c r="Z363" s="26" t="s">
        <v>13</v>
      </c>
      <c r="AA363" s="13">
        <v>-915.5</v>
      </c>
      <c r="AB363" s="66">
        <v>0</v>
      </c>
      <c r="AC363" s="30" t="s">
        <v>18</v>
      </c>
      <c r="AD363" s="29"/>
      <c r="AE363" s="32"/>
      <c r="AF363" s="32"/>
      <c r="AG363" s="17"/>
      <c r="AH363" s="27"/>
      <c r="AI363" s="27" t="str">
        <f>HYPERLINK("http://drinc.ca.gov/DNN/Portals/0/SelfCert/6b5da0ef-9fa1-41f3-ab2d-1f7426ca9934.pdf","Legal")</f>
        <v>Legal</v>
      </c>
      <c r="AJ363" s="11"/>
      <c r="AK363" s="58" t="str">
        <f>HYPERLINK("http://drinc.ca.gov/DNN/Portals/0/SelfCert/7d747d27-25c7-44fb-82d7-0599e0c7c96c.pdf","Cert")</f>
        <v>Cert</v>
      </c>
      <c r="AL363" s="58" t="str">
        <f>HYPERLINK("http://drinc.ca.gov/DNN/Portals/0/SelfCert/5f90f2ad-055f-40b3-8def-992d89a0ebca.xlsx","Analysis")</f>
        <v>Analysis</v>
      </c>
    </row>
    <row r="364" spans="1:38" s="19" customFormat="1" ht="14.4" customHeight="1" x14ac:dyDescent="0.3">
      <c r="A364" s="12" t="s">
        <v>381</v>
      </c>
      <c r="B364" s="68" t="s">
        <v>38</v>
      </c>
      <c r="C364" s="73">
        <v>13500</v>
      </c>
      <c r="D364" s="14">
        <v>5424.5</v>
      </c>
      <c r="E364" s="14">
        <v>3460</v>
      </c>
      <c r="F364" s="18">
        <v>0.36</v>
      </c>
      <c r="G364" s="68" t="s">
        <v>798</v>
      </c>
      <c r="H364" s="64">
        <v>0.32</v>
      </c>
      <c r="I364" s="64">
        <v>0.32</v>
      </c>
      <c r="J364" s="64">
        <v>0.45</v>
      </c>
      <c r="K364" s="71" t="s">
        <v>822</v>
      </c>
      <c r="L364" s="65">
        <v>6703</v>
      </c>
      <c r="M364" s="65">
        <v>6703</v>
      </c>
      <c r="N364" s="13">
        <v>6702</v>
      </c>
      <c r="O364" s="13">
        <v>4147</v>
      </c>
      <c r="P364" s="30" t="s">
        <v>4</v>
      </c>
      <c r="Q364" s="13">
        <v>6702</v>
      </c>
      <c r="R364" s="13">
        <v>4147</v>
      </c>
      <c r="S364" s="34">
        <v>5424.5</v>
      </c>
      <c r="T364" s="41" t="s">
        <v>382</v>
      </c>
      <c r="U364" s="65">
        <v>9657</v>
      </c>
      <c r="V364" s="65">
        <v>5821</v>
      </c>
      <c r="W364" s="51">
        <v>3460</v>
      </c>
      <c r="X364" s="58" t="str">
        <f>HYPERLINK("http://drinc.ca.gov/DNN/Portals/0/SelfCert/d5f813cd-224d-412a-b64c-f261d2716e72.xlsx","WS1")</f>
        <v>WS1</v>
      </c>
      <c r="Y364" s="10" t="s">
        <v>383</v>
      </c>
      <c r="Z364" s="26" t="s">
        <v>13</v>
      </c>
      <c r="AA364" s="31">
        <v>1964.5</v>
      </c>
      <c r="AB364" s="15">
        <v>0.36215319384275046</v>
      </c>
      <c r="AC364" s="30" t="s">
        <v>18</v>
      </c>
      <c r="AD364" s="29" t="s">
        <v>384</v>
      </c>
      <c r="AE364" s="32"/>
      <c r="AF364" s="32"/>
      <c r="AG364" s="17"/>
      <c r="AH364" s="36"/>
      <c r="AI364" s="36"/>
      <c r="AJ364" s="11"/>
      <c r="AK364" s="58" t="str">
        <f>HYPERLINK("http://drinc.ca.gov/DNN/Portals/0/SelfCert/2570b1d2-3ee4-4f33-ad78-9cdbdd53ddeb.pdf","Cert")</f>
        <v>Cert</v>
      </c>
      <c r="AL364" s="56" t="str">
        <f>HYPERLINK("http://drinc.ca.gov/DNN/Portals/0/SelfCert/e83ae560-f7fb-4c7f-99a4-f7fa7d90ec7b.xlsx","Analysis")</f>
        <v>Analysis</v>
      </c>
    </row>
    <row r="365" spans="1:38" s="19" customFormat="1" ht="14.4" customHeight="1" x14ac:dyDescent="0.3">
      <c r="A365" s="12" t="s">
        <v>669</v>
      </c>
      <c r="B365" s="68" t="s">
        <v>16</v>
      </c>
      <c r="C365" s="73">
        <v>62183</v>
      </c>
      <c r="D365" s="14">
        <v>8893.5</v>
      </c>
      <c r="E365" s="14">
        <v>7660</v>
      </c>
      <c r="F365" s="18">
        <v>0.14000000000000001</v>
      </c>
      <c r="G365" s="68" t="s">
        <v>776</v>
      </c>
      <c r="H365" s="64">
        <v>0.2</v>
      </c>
      <c r="I365" s="64">
        <v>0.2</v>
      </c>
      <c r="J365" s="64">
        <v>0.17</v>
      </c>
      <c r="K365" s="71">
        <v>0.25377312100465255</v>
      </c>
      <c r="L365" s="65">
        <v>8963.7000000000007</v>
      </c>
      <c r="M365" s="65">
        <v>8963.7000000000007</v>
      </c>
      <c r="N365" s="13">
        <v>8964</v>
      </c>
      <c r="O365" s="13">
        <v>8823</v>
      </c>
      <c r="P365" s="30" t="s">
        <v>4</v>
      </c>
      <c r="Q365" s="13">
        <v>8964</v>
      </c>
      <c r="R365" s="13">
        <v>8823</v>
      </c>
      <c r="S365" s="23">
        <v>8893.5</v>
      </c>
      <c r="T365" s="41" t="s">
        <v>670</v>
      </c>
      <c r="U365" s="13">
        <v>7659</v>
      </c>
      <c r="V365" s="13">
        <v>7660</v>
      </c>
      <c r="W365" s="24">
        <v>7660</v>
      </c>
      <c r="X365" s="58" t="str">
        <f>HYPERLINK("http://drinc.ca.gov/DNN/Portals/0/SelfCert/1ce29e74-e5df-40f9-893f-c9ba157272b3.xlsx","WS1")</f>
        <v>WS1</v>
      </c>
      <c r="Y365" s="10" t="s">
        <v>671</v>
      </c>
      <c r="Z365" s="26" t="s">
        <v>13</v>
      </c>
      <c r="AA365" s="13">
        <v>1233.5</v>
      </c>
      <c r="AB365" s="15">
        <v>0.14000000000000001</v>
      </c>
      <c r="AC365" s="30" t="s">
        <v>14</v>
      </c>
      <c r="AD365" s="29"/>
      <c r="AE365" s="32"/>
      <c r="AF365" s="32"/>
      <c r="AG365" s="17"/>
      <c r="AH365" s="27"/>
      <c r="AI365" s="27"/>
      <c r="AJ365" s="11"/>
      <c r="AK365" s="58" t="str">
        <f>HYPERLINK("http://drinc.ca.gov/DNN/Portals/0/SelfCert/c9c693ad-1978-4c77-8e87-b4e1067508d2.pdf","Cert")</f>
        <v>Cert</v>
      </c>
      <c r="AL365" s="58" t="str">
        <f>HYPERLINK("http://drinc.ca.gov/DNN/Portals/0/SelfCert/1631e9e5-bd58-4098-8eed-3188e264a3e6.xlsx","Analysis")</f>
        <v>Analysis</v>
      </c>
    </row>
    <row r="366" spans="1:38" s="19" customFormat="1" ht="14.4" customHeight="1" x14ac:dyDescent="0.3">
      <c r="A366" s="12" t="s">
        <v>152</v>
      </c>
      <c r="B366" s="68" t="s">
        <v>23</v>
      </c>
      <c r="C366" s="73">
        <v>8971.75</v>
      </c>
      <c r="D366" s="14">
        <v>4358.1000000000004</v>
      </c>
      <c r="E366" s="14">
        <v>12000</v>
      </c>
      <c r="F366" s="18">
        <v>0</v>
      </c>
      <c r="G366" s="68" t="s">
        <v>776</v>
      </c>
      <c r="H366" s="64">
        <v>0.36</v>
      </c>
      <c r="I366" s="64">
        <v>0.32</v>
      </c>
      <c r="J366" s="64">
        <v>0.32</v>
      </c>
      <c r="K366" s="71">
        <v>0.30000000000000004</v>
      </c>
      <c r="L366" s="65">
        <v>4414</v>
      </c>
      <c r="M366" s="65">
        <v>4414</v>
      </c>
      <c r="N366" s="13">
        <v>4414.3</v>
      </c>
      <c r="O366" s="13">
        <v>4301.8999999999996</v>
      </c>
      <c r="P366" s="30" t="s">
        <v>4</v>
      </c>
      <c r="Q366" s="13">
        <v>4414.3</v>
      </c>
      <c r="R366" s="13">
        <v>4301.8999999999996</v>
      </c>
      <c r="S366" s="23">
        <v>4358.1000000000004</v>
      </c>
      <c r="T366" s="41"/>
      <c r="U366" s="65">
        <v>12000</v>
      </c>
      <c r="V366" s="65">
        <v>12000</v>
      </c>
      <c r="W366" s="51">
        <v>12000</v>
      </c>
      <c r="X366" s="58" t="str">
        <f>HYPERLINK("http://drinc.ca.gov/DNN/Portals/0/SelfCert/817f33a9-973c-43d5-9a48-e60da9bcf9af.xlsx","WS1")</f>
        <v>WS1</v>
      </c>
      <c r="Y366" s="10"/>
      <c r="Z366" s="26" t="s">
        <v>13</v>
      </c>
      <c r="AA366" s="13">
        <v>-7641.9</v>
      </c>
      <c r="AB366" s="66">
        <v>0</v>
      </c>
      <c r="AC366" s="30" t="s">
        <v>14</v>
      </c>
      <c r="AD366" s="29"/>
      <c r="AE366" s="32"/>
      <c r="AF366" s="32"/>
      <c r="AG366" s="17"/>
      <c r="AH366" s="27"/>
      <c r="AI366" s="27"/>
      <c r="AJ366" s="11"/>
      <c r="AK366" s="58" t="str">
        <f>HYPERLINK("http://drinc.ca.gov/DNN/Portals/0/SelfCert/324f6b96-996c-48e1-b1c9-e93cd6977668.pdf","Cert")</f>
        <v>Cert</v>
      </c>
      <c r="AL366" s="56" t="str">
        <f>HYPERLINK("http://drinc.ca.gov/DNN/Portals/0/SelfCert/19124fc4-01ea-4c1f-8c04-60a78518fb76.docx","Analysis")</f>
        <v>Analysis</v>
      </c>
    </row>
    <row r="367" spans="1:38" s="19" customFormat="1" ht="14.4" customHeight="1" x14ac:dyDescent="0.3">
      <c r="A367" s="12" t="s">
        <v>291</v>
      </c>
      <c r="B367" s="68" t="s">
        <v>16</v>
      </c>
      <c r="C367" s="73">
        <v>25890.916666666668</v>
      </c>
      <c r="D367" s="14">
        <v>8448.5</v>
      </c>
      <c r="E367" s="14">
        <v>8600</v>
      </c>
      <c r="F367" s="18">
        <v>0</v>
      </c>
      <c r="G367" s="68" t="s">
        <v>776</v>
      </c>
      <c r="H367" s="64">
        <v>0.36</v>
      </c>
      <c r="I367" s="64">
        <v>0.36</v>
      </c>
      <c r="J367" s="64">
        <v>0.26</v>
      </c>
      <c r="K367" s="71">
        <v>0.21341120970459404</v>
      </c>
      <c r="L367" s="65">
        <v>8318.6</v>
      </c>
      <c r="M367" s="65">
        <v>8318.6</v>
      </c>
      <c r="N367" s="13">
        <v>8606</v>
      </c>
      <c r="O367" s="13">
        <v>8291</v>
      </c>
      <c r="P367" s="30" t="s">
        <v>4</v>
      </c>
      <c r="Q367" s="13">
        <v>8606</v>
      </c>
      <c r="R367" s="13">
        <v>8291</v>
      </c>
      <c r="S367" s="23">
        <v>8448.5</v>
      </c>
      <c r="T367" s="41" t="s">
        <v>292</v>
      </c>
      <c r="U367" s="13">
        <v>8600</v>
      </c>
      <c r="V367" s="13">
        <v>8600</v>
      </c>
      <c r="W367" s="24">
        <v>8600</v>
      </c>
      <c r="X367" s="58" t="str">
        <f>HYPERLINK("http://drinc.ca.gov/DNN/Portals/0/SelfCert/1786e5dd-e74d-454f-8ade-3c48bc7cdcc8.xlsx","WS1")</f>
        <v>WS1</v>
      </c>
      <c r="Y367" s="10" t="s">
        <v>293</v>
      </c>
      <c r="Z367" s="26" t="s">
        <v>13</v>
      </c>
      <c r="AA367" s="13">
        <v>-151.5</v>
      </c>
      <c r="AB367" s="66">
        <v>0</v>
      </c>
      <c r="AC367" s="30" t="s">
        <v>18</v>
      </c>
      <c r="AD367" s="29" t="s">
        <v>294</v>
      </c>
      <c r="AE367" s="32"/>
      <c r="AF367" s="32"/>
      <c r="AG367" s="17"/>
      <c r="AH367" s="27"/>
      <c r="AI367" s="27"/>
      <c r="AJ367" s="11"/>
      <c r="AK367" s="58" t="str">
        <f>HYPERLINK("http://drinc.ca.gov/DNN/Portals/0/SelfCert/e8a4ae3e-d987-4650-b814-1b110a24c08b.pdf","Cert")</f>
        <v>Cert</v>
      </c>
      <c r="AL367" s="58" t="str">
        <f>HYPERLINK("http://drinc.ca.gov/DNN/Portals/0/SelfCert/92574d11-8ffc-4037-b701-9c40938e0d0b.pdf","Analysis")</f>
        <v>Analysis</v>
      </c>
    </row>
    <row r="368" spans="1:38" s="19" customFormat="1" ht="14.4" customHeight="1" x14ac:dyDescent="0.3">
      <c r="A368" s="12" t="s">
        <v>778</v>
      </c>
      <c r="B368" s="68" t="s">
        <v>27</v>
      </c>
      <c r="C368" s="73">
        <v>21797.75</v>
      </c>
      <c r="D368" s="14">
        <v>5280</v>
      </c>
      <c r="E368" s="14">
        <v>16936</v>
      </c>
      <c r="F368" s="18">
        <v>0</v>
      </c>
      <c r="G368" s="68" t="s">
        <v>776</v>
      </c>
      <c r="H368" s="64">
        <v>0.32</v>
      </c>
      <c r="I368" s="64">
        <v>0.3</v>
      </c>
      <c r="J368" s="64">
        <v>0.41</v>
      </c>
      <c r="K368" s="71">
        <v>0.32715499797652769</v>
      </c>
      <c r="L368" s="65">
        <v>5983.6</v>
      </c>
      <c r="M368" s="65">
        <v>5983.6</v>
      </c>
      <c r="N368" s="13">
        <v>1951</v>
      </c>
      <c r="O368" s="13">
        <v>1490</v>
      </c>
      <c r="P368" s="30" t="s">
        <v>5</v>
      </c>
      <c r="Q368" s="13">
        <v>5987.4</v>
      </c>
      <c r="R368" s="13">
        <v>4572.6000000000004</v>
      </c>
      <c r="S368" s="23">
        <v>5280</v>
      </c>
      <c r="T368" s="41"/>
      <c r="U368" s="13">
        <v>14033</v>
      </c>
      <c r="V368" s="13">
        <v>16936</v>
      </c>
      <c r="W368" s="24">
        <v>16936</v>
      </c>
      <c r="X368" s="58" t="str">
        <f>HYPERLINK("http://drinc.ca.gov/DNN/Portals/0/SelfCert/17de50d3-37cd-4a43-aa82-9d176962bbd5.xlsx","WS1")</f>
        <v>WS1</v>
      </c>
      <c r="Y368" s="10" t="s">
        <v>779</v>
      </c>
      <c r="Z368" s="26" t="s">
        <v>13</v>
      </c>
      <c r="AA368" s="13">
        <v>-11656</v>
      </c>
      <c r="AB368" s="66">
        <v>0</v>
      </c>
      <c r="AC368" s="30" t="s">
        <v>18</v>
      </c>
      <c r="AD368" s="29" t="s">
        <v>780</v>
      </c>
      <c r="AE368" s="32"/>
      <c r="AF368" s="32"/>
      <c r="AG368" s="17"/>
      <c r="AH368" s="27"/>
      <c r="AI368" s="27"/>
      <c r="AJ368" s="11"/>
      <c r="AK368" s="58" t="str">
        <f>HYPERLINK("http://drinc.ca.gov/DNN/Portals/0/SelfCert/14855f5f-6dcb-4557-aafe-1b36ae16671c.pdf","Cert")</f>
        <v>Cert</v>
      </c>
      <c r="AL368" s="58" t="str">
        <f>HYPERLINK("http://drinc.ca.gov/DNN/Portals/0/SelfCert/81d97c27-81f6-4d50-a772-64d8d65c743c.xlsx","Analysis")</f>
        <v>Analysis</v>
      </c>
    </row>
    <row r="369" spans="1:38" s="19" customFormat="1" ht="14.4" customHeight="1" x14ac:dyDescent="0.3">
      <c r="A369" s="12" t="s">
        <v>704</v>
      </c>
      <c r="B369" s="68" t="s">
        <v>16</v>
      </c>
      <c r="C369" s="73">
        <v>9000</v>
      </c>
      <c r="D369" s="14">
        <v>2555.3000000000002</v>
      </c>
      <c r="E369" s="14">
        <v>2451.6</v>
      </c>
      <c r="F369" s="18">
        <v>0</v>
      </c>
      <c r="G369" s="69" t="s">
        <v>831</v>
      </c>
      <c r="H369" s="64">
        <v>0.24</v>
      </c>
      <c r="I369" s="64">
        <v>0.24</v>
      </c>
      <c r="J369" s="64">
        <v>0.19</v>
      </c>
      <c r="K369" s="71">
        <v>0.27798774925061898</v>
      </c>
      <c r="L369" s="65">
        <v>1795.1</v>
      </c>
      <c r="M369" s="65">
        <v>1795.1</v>
      </c>
      <c r="N369" s="13">
        <v>2597.1999999999998</v>
      </c>
      <c r="O369" s="13">
        <v>2513.3000000000002</v>
      </c>
      <c r="P369" s="30" t="s">
        <v>4</v>
      </c>
      <c r="Q369" s="13">
        <v>2597.1999999999998</v>
      </c>
      <c r="R369" s="13">
        <v>2513.3000000000002</v>
      </c>
      <c r="S369" s="23">
        <v>2555.3000000000002</v>
      </c>
      <c r="T369" s="41"/>
      <c r="U369" s="13">
        <v>2714</v>
      </c>
      <c r="V369" s="13">
        <v>2762</v>
      </c>
      <c r="W369" s="24">
        <v>2864</v>
      </c>
      <c r="X369" s="56" t="str">
        <f>HYPERLINK("http://drinc.ca.gov/DNN/Portals/0/SelfCert/0a8d3e6b-5261-4541-839b-81798c7b99a7.xlsx","WS1")</f>
        <v>WS1</v>
      </c>
      <c r="Y369" s="10" t="s">
        <v>721</v>
      </c>
      <c r="Z369" s="26" t="s">
        <v>13</v>
      </c>
      <c r="AA369" s="13">
        <v>-308.69999999999982</v>
      </c>
      <c r="AB369" s="15">
        <v>0</v>
      </c>
      <c r="AC369" s="30" t="s">
        <v>14</v>
      </c>
      <c r="AD369" s="29"/>
      <c r="AE369" s="32"/>
      <c r="AF369" s="32"/>
      <c r="AG369" s="17"/>
      <c r="AH369" s="27"/>
      <c r="AI369" s="27"/>
      <c r="AJ369" s="11"/>
      <c r="AK369" s="58" t="str">
        <f>HYPERLINK("http://drinc.ca.gov/DNN/Portals/0/SelfCert/841d04f2-feea-4aa4-826c-1290d41f91a0.pdf","Cert")</f>
        <v>Cert</v>
      </c>
      <c r="AL369" s="56" t="str">
        <f>HYPERLINK("http://drinc.ca.gov/DNN/Portals/0/SelfCert/762defb4-8ea6-4987-aab1-3c829c1a5075.pdf","Analysis")</f>
        <v>Analysis</v>
      </c>
    </row>
    <row r="370" spans="1:38" s="19" customFormat="1" ht="14.4" customHeight="1" x14ac:dyDescent="0.3">
      <c r="A370" s="12" t="s">
        <v>416</v>
      </c>
      <c r="B370" s="68" t="s">
        <v>50</v>
      </c>
      <c r="C370" s="73">
        <v>91207</v>
      </c>
      <c r="D370" s="14">
        <v>27010</v>
      </c>
      <c r="E370" s="14">
        <v>30192</v>
      </c>
      <c r="F370" s="18">
        <v>0</v>
      </c>
      <c r="G370" s="68" t="s">
        <v>776</v>
      </c>
      <c r="H370" s="64">
        <v>0.36</v>
      </c>
      <c r="I370" s="64">
        <v>0.33</v>
      </c>
      <c r="J370" s="64">
        <v>0.28999999999999998</v>
      </c>
      <c r="K370" s="71">
        <v>0.25372756453727563</v>
      </c>
      <c r="L370" s="65">
        <v>28191.9</v>
      </c>
      <c r="M370" s="65">
        <v>28191.9</v>
      </c>
      <c r="N370" s="13">
        <v>28540</v>
      </c>
      <c r="O370" s="13">
        <v>25480</v>
      </c>
      <c r="P370" s="30" t="s">
        <v>4</v>
      </c>
      <c r="Q370" s="13">
        <v>28540</v>
      </c>
      <c r="R370" s="13">
        <v>25480</v>
      </c>
      <c r="S370" s="23">
        <v>27010</v>
      </c>
      <c r="T370" s="41"/>
      <c r="U370" s="13">
        <v>35774</v>
      </c>
      <c r="V370" s="13">
        <v>32457</v>
      </c>
      <c r="W370" s="24">
        <v>30192</v>
      </c>
      <c r="X370" s="58" t="str">
        <f>HYPERLINK("http://www.drinc.ca.gov/DNN/Portals/0/SelfCert/e57cd4c9-2a91-4710-b559-fa9710b9c264.xlsx","WS1")</f>
        <v>WS1</v>
      </c>
      <c r="Y370" s="10"/>
      <c r="Z370" s="26" t="s">
        <v>13</v>
      </c>
      <c r="AA370" s="13">
        <v>-3182</v>
      </c>
      <c r="AB370" s="66">
        <v>0</v>
      </c>
      <c r="AC370" s="30" t="s">
        <v>18</v>
      </c>
      <c r="AD370" s="29" t="s">
        <v>417</v>
      </c>
      <c r="AE370" s="32"/>
      <c r="AF370" s="32"/>
      <c r="AG370" s="17"/>
      <c r="AH370" s="27"/>
      <c r="AI370" s="27"/>
      <c r="AJ370" s="11"/>
      <c r="AK370" s="58" t="str">
        <f>HYPERLINK("http://www.drinc.ca.gov/DNN/Portals/0/SelfCert/cd134385-e68d-42e3-99ed-bd32cccd22db.pdf","Cert")</f>
        <v>Cert</v>
      </c>
      <c r="AL370" s="58" t="str">
        <f>HYPERLINK("http://www.drinc.ca.gov/DNN/Portals/0/SelfCert/5d2da736-52ec-4756-aaba-22f9a6328299.xlsx","Analysis")</f>
        <v>Analysis</v>
      </c>
    </row>
    <row r="371" spans="1:38" s="19" customFormat="1" ht="14.4" customHeight="1" x14ac:dyDescent="0.3">
      <c r="A371" s="12" t="s">
        <v>26</v>
      </c>
      <c r="B371" s="68" t="s">
        <v>27</v>
      </c>
      <c r="C371" s="73">
        <v>15024.333333333334</v>
      </c>
      <c r="D371" s="14">
        <v>4514</v>
      </c>
      <c r="E371" s="14">
        <v>13227</v>
      </c>
      <c r="F371" s="18">
        <v>0</v>
      </c>
      <c r="G371" s="68" t="s">
        <v>776</v>
      </c>
      <c r="H371" s="64">
        <v>0.36</v>
      </c>
      <c r="I371" s="64">
        <v>0.33</v>
      </c>
      <c r="J371" s="64">
        <v>0.31</v>
      </c>
      <c r="K371" s="71">
        <v>0.3014713802537754</v>
      </c>
      <c r="L371" s="65">
        <v>4845.3</v>
      </c>
      <c r="M371" s="65">
        <v>4845.3</v>
      </c>
      <c r="N371" s="13">
        <v>1578.9</v>
      </c>
      <c r="O371" s="13">
        <v>1362.9</v>
      </c>
      <c r="P371" s="30" t="s">
        <v>5</v>
      </c>
      <c r="Q371" s="13">
        <v>4845.5</v>
      </c>
      <c r="R371" s="13">
        <v>4182.6000000000004</v>
      </c>
      <c r="S371" s="23">
        <v>4514</v>
      </c>
      <c r="T371" s="41"/>
      <c r="U371" s="13">
        <v>13227</v>
      </c>
      <c r="V371" s="13">
        <v>13227</v>
      </c>
      <c r="W371" s="24">
        <v>13227</v>
      </c>
      <c r="X371" s="58" t="str">
        <f>HYPERLINK("http://drinc.ca.gov/DNN/Portals/0/SelfCert/81e34581-8661-4770-96fe-b938b5f5f85c.xlsx","WS1")</f>
        <v>WS1</v>
      </c>
      <c r="Y371" s="10" t="s">
        <v>28</v>
      </c>
      <c r="Z371" s="26" t="s">
        <v>13</v>
      </c>
      <c r="AA371" s="13">
        <v>-8713</v>
      </c>
      <c r="AB371" s="66">
        <v>0</v>
      </c>
      <c r="AC371" s="30"/>
      <c r="AD371" s="29" t="s">
        <v>29</v>
      </c>
      <c r="AE371" s="32">
        <v>1578.9</v>
      </c>
      <c r="AF371" s="32">
        <v>4309.8999999999996</v>
      </c>
      <c r="AG371" s="17"/>
      <c r="AH371" s="27" t="str">
        <f>HYPERLINK("http://drinc.ca.gov/DNN/Portals/0/SelfCert/7352958e-ba9c-488d-95ac-83f92396a7f5.xlsx","WS2")</f>
        <v>WS2</v>
      </c>
      <c r="AI371" s="27"/>
      <c r="AJ371" s="11"/>
      <c r="AK371" s="58" t="str">
        <f>HYPERLINK("http://drinc.ca.gov/DNN/Portals/0/SelfCert/d36e3b34-069a-4a02-b4af-79d890030000.pdf","Cert")</f>
        <v>Cert</v>
      </c>
      <c r="AL371" s="58" t="str">
        <f>HYPERLINK("http://drinc.ca.gov/DNN/Portals/0/SelfCert/6c1917a4-dd6e-4cac-8d8d-5151810fde24.xlsx","Analysis")</f>
        <v>Analysis</v>
      </c>
    </row>
    <row r="372" spans="1:38" s="19" customFormat="1" ht="14.4" customHeight="1" x14ac:dyDescent="0.3">
      <c r="A372" s="12" t="s">
        <v>581</v>
      </c>
      <c r="B372" s="68" t="s">
        <v>27</v>
      </c>
      <c r="C372" s="73">
        <v>23407</v>
      </c>
      <c r="D372" s="14">
        <v>4006.5</v>
      </c>
      <c r="E372" s="14">
        <v>4006.5</v>
      </c>
      <c r="F372" s="18">
        <v>0</v>
      </c>
      <c r="G372" s="68" t="s">
        <v>776</v>
      </c>
      <c r="H372" s="64">
        <v>0.32</v>
      </c>
      <c r="I372" s="64">
        <v>0.3</v>
      </c>
      <c r="J372" s="64">
        <v>0.15</v>
      </c>
      <c r="K372" s="71">
        <v>0.25863659457277843</v>
      </c>
      <c r="L372" s="65">
        <v>4097.5</v>
      </c>
      <c r="M372" s="65">
        <v>4097.5</v>
      </c>
      <c r="N372" s="13">
        <v>3978</v>
      </c>
      <c r="O372" s="13">
        <v>4035</v>
      </c>
      <c r="P372" s="30" t="s">
        <v>4</v>
      </c>
      <c r="Q372" s="13">
        <v>3978</v>
      </c>
      <c r="R372" s="13">
        <v>4035</v>
      </c>
      <c r="S372" s="23">
        <v>4006.5</v>
      </c>
      <c r="T372" s="41" t="s">
        <v>582</v>
      </c>
      <c r="U372" s="13">
        <v>4006.5</v>
      </c>
      <c r="V372" s="13">
        <v>4006.5</v>
      </c>
      <c r="W372" s="24">
        <v>4006.5</v>
      </c>
      <c r="X372" s="58" t="str">
        <f>HYPERLINK("http://drinc.ca.gov/DNN/Portals/0/SelfCert/2c70f415-0349-47c8-98e7-2c3f114ce097.xlsx","WS1")</f>
        <v>WS1</v>
      </c>
      <c r="Y372" s="10" t="s">
        <v>583</v>
      </c>
      <c r="Z372" s="26" t="s">
        <v>13</v>
      </c>
      <c r="AA372" s="13">
        <v>0</v>
      </c>
      <c r="AB372" s="15">
        <v>0</v>
      </c>
      <c r="AC372" s="30" t="s">
        <v>18</v>
      </c>
      <c r="AD372" s="29" t="s">
        <v>760</v>
      </c>
      <c r="AE372" s="32"/>
      <c r="AF372" s="32"/>
      <c r="AG372" s="17"/>
      <c r="AH372" s="27"/>
      <c r="AI372" s="27"/>
      <c r="AJ372" s="11"/>
      <c r="AK372" s="58" t="str">
        <f>HYPERLINK("http://drinc.ca.gov/DNN/Portals/0/SelfCert/734bf67b-a426-48a1-bbaa-66608cfbc6e2.pdf","Cert")</f>
        <v>Cert</v>
      </c>
      <c r="AL372" s="58" t="str">
        <f>HYPERLINK("http://drinc.ca.gov/DNN/Portals/0/SelfCert/21d9cc3c-cb28-4894-812b-00b206592a06.xlsx","Analysis")</f>
        <v>Analysis</v>
      </c>
    </row>
    <row r="373" spans="1:38" s="19" customFormat="1" ht="14.4" customHeight="1" x14ac:dyDescent="0.3">
      <c r="A373" s="12" t="s">
        <v>470</v>
      </c>
      <c r="B373" s="68" t="s">
        <v>16</v>
      </c>
      <c r="C373" s="73">
        <v>11492</v>
      </c>
      <c r="D373" s="14">
        <v>1812</v>
      </c>
      <c r="E373" s="14">
        <v>1812</v>
      </c>
      <c r="F373" s="18">
        <v>0</v>
      </c>
      <c r="G373" s="68" t="s">
        <v>776</v>
      </c>
      <c r="H373" s="64">
        <v>0.28000000000000003</v>
      </c>
      <c r="I373" s="64">
        <v>0.24</v>
      </c>
      <c r="J373" s="64">
        <v>0.25</v>
      </c>
      <c r="K373" s="71">
        <v>0.20933561106237597</v>
      </c>
      <c r="L373" s="65">
        <v>1859.3</v>
      </c>
      <c r="M373" s="65">
        <v>1859.3</v>
      </c>
      <c r="N373" s="13">
        <v>1859.3</v>
      </c>
      <c r="O373" s="13">
        <v>1764.7</v>
      </c>
      <c r="P373" s="30" t="s">
        <v>4</v>
      </c>
      <c r="Q373" s="13">
        <v>1859.3</v>
      </c>
      <c r="R373" s="13">
        <v>1764.7</v>
      </c>
      <c r="S373" s="23">
        <v>1812</v>
      </c>
      <c r="T373" s="41"/>
      <c r="U373" s="13">
        <v>1812.02</v>
      </c>
      <c r="V373" s="13">
        <v>1812</v>
      </c>
      <c r="W373" s="24">
        <v>1812</v>
      </c>
      <c r="X373" s="58" t="str">
        <f>HYPERLINK("http://www.drinc.ca.gov/DNN/Portals/0/SelfCert/8711a2eb-1f54-45ce-8f62-a79bb7695031.xlsx","WS1")</f>
        <v>WS1</v>
      </c>
      <c r="Y373" s="10"/>
      <c r="Z373" s="26" t="s">
        <v>13</v>
      </c>
      <c r="AA373" s="13">
        <v>0</v>
      </c>
      <c r="AB373" s="15">
        <v>0</v>
      </c>
      <c r="AC373" s="30" t="s">
        <v>18</v>
      </c>
      <c r="AD373" s="29" t="s">
        <v>33</v>
      </c>
      <c r="AE373" s="32"/>
      <c r="AF373" s="32"/>
      <c r="AG373" s="17"/>
      <c r="AH373" s="27"/>
      <c r="AI373" s="27"/>
      <c r="AJ373" s="11"/>
      <c r="AK373" s="58" t="str">
        <f>HYPERLINK("http://www.drinc.ca.gov/DNN/Portals/0/SelfCert/d71527e1-e136-469e-a0af-609df391b85c.pdf","Cert")</f>
        <v>Cert</v>
      </c>
      <c r="AL373" s="58" t="str">
        <f>HYPERLINK("http://www.drinc.ca.gov/DNN/Portals/0/SelfCert/36df817c-b8a2-4c53-920a-a9ed5973e7c7.xlsx","Analysis")</f>
        <v>Analysis</v>
      </c>
    </row>
    <row r="374" spans="1:38" s="19" customFormat="1" ht="14.4" customHeight="1" x14ac:dyDescent="0.3">
      <c r="A374" s="12" t="s">
        <v>699</v>
      </c>
      <c r="B374" s="68" t="s">
        <v>38</v>
      </c>
      <c r="C374" s="73">
        <v>19000</v>
      </c>
      <c r="D374" s="14">
        <v>2167.6999999999998</v>
      </c>
      <c r="E374" s="14">
        <v>1776</v>
      </c>
      <c r="F374" s="18">
        <v>0.18</v>
      </c>
      <c r="G374" s="68" t="s">
        <v>776</v>
      </c>
      <c r="H374" s="64">
        <v>0.12</v>
      </c>
      <c r="I374" s="64">
        <v>0.12</v>
      </c>
      <c r="J374" s="64">
        <v>0.25</v>
      </c>
      <c r="K374" s="71">
        <v>9.8966127050252206E-2</v>
      </c>
      <c r="L374" s="65">
        <v>1567.7</v>
      </c>
      <c r="M374" s="65">
        <v>1567.7</v>
      </c>
      <c r="N374" s="13">
        <v>793.2</v>
      </c>
      <c r="O374" s="13">
        <v>619.5</v>
      </c>
      <c r="P374" s="30" t="s">
        <v>5</v>
      </c>
      <c r="Q374" s="13">
        <v>2434.1999999999998</v>
      </c>
      <c r="R374" s="13">
        <v>1901.2</v>
      </c>
      <c r="S374" s="23">
        <v>2167.6999999999998</v>
      </c>
      <c r="T374" s="41"/>
      <c r="U374" s="13">
        <v>2427</v>
      </c>
      <c r="V374" s="13">
        <v>2037</v>
      </c>
      <c r="W374" s="24">
        <v>1776</v>
      </c>
      <c r="X374" s="58" t="str">
        <f>HYPERLINK("http://drinc.ca.gov/DNN/Portals/0/SelfCert/3cf80e71-9e3a-42de-8d8c-13574f1aa905.xlsx","WS1")</f>
        <v>WS1</v>
      </c>
      <c r="Y374" s="10" t="s">
        <v>730</v>
      </c>
      <c r="Z374" s="26" t="s">
        <v>13</v>
      </c>
      <c r="AA374" s="13">
        <v>391.7</v>
      </c>
      <c r="AB374" s="15">
        <v>0.18</v>
      </c>
      <c r="AC374" s="30" t="s">
        <v>14</v>
      </c>
      <c r="AD374" s="29"/>
      <c r="AE374" s="32"/>
      <c r="AF374" s="32"/>
      <c r="AG374" s="17"/>
      <c r="AH374" s="27"/>
      <c r="AI374" s="27"/>
      <c r="AJ374" s="11"/>
      <c r="AK374" s="58" t="str">
        <f>HYPERLINK("http://drinc.ca.gov/DNN/Portals/0/SelfCert/01432296-eeb3-4734-a558-5a34ae7055ea.pdf","Cert")</f>
        <v>Cert</v>
      </c>
      <c r="AL374" s="58" t="str">
        <f>HYPERLINK("http://drinc.ca.gov/DNN/Portals/0/SelfCert/c3fd3eb9-9f49-468f-a977-a6b8575f2425.docx","Analysis")</f>
        <v>Analysis</v>
      </c>
    </row>
    <row r="375" spans="1:38" s="19" customFormat="1" ht="14.4" customHeight="1" x14ac:dyDescent="0.3">
      <c r="A375" s="12" t="s">
        <v>662</v>
      </c>
      <c r="B375" s="68" t="s">
        <v>50</v>
      </c>
      <c r="C375" s="73">
        <v>10247.5</v>
      </c>
      <c r="D375" s="14">
        <v>2313.5</v>
      </c>
      <c r="E375" s="14">
        <v>2091.5</v>
      </c>
      <c r="F375" s="18">
        <v>0.1</v>
      </c>
      <c r="G375" s="68" t="s">
        <v>776</v>
      </c>
      <c r="H375" s="64">
        <v>0.28000000000000003</v>
      </c>
      <c r="I375" s="64">
        <v>0.25</v>
      </c>
      <c r="J375" s="64">
        <v>0.38</v>
      </c>
      <c r="K375" s="71">
        <v>0.32389220502649319</v>
      </c>
      <c r="L375" s="65">
        <v>2662.8</v>
      </c>
      <c r="M375" s="65">
        <v>2662.8</v>
      </c>
      <c r="N375" s="13">
        <v>2634</v>
      </c>
      <c r="O375" s="13">
        <v>1993</v>
      </c>
      <c r="P375" s="30" t="s">
        <v>4</v>
      </c>
      <c r="Q375" s="13">
        <v>2634</v>
      </c>
      <c r="R375" s="13">
        <v>1993</v>
      </c>
      <c r="S375" s="23">
        <v>2313.5</v>
      </c>
      <c r="T375" s="41"/>
      <c r="U375" s="13">
        <v>2337</v>
      </c>
      <c r="V375" s="13">
        <v>2091</v>
      </c>
      <c r="W375" s="24">
        <v>2091.5</v>
      </c>
      <c r="X375" s="58" t="str">
        <f>HYPERLINK("http://drinc.ca.gov/DNN/Portals/0/SelfCert/50e0be41-452f-45bf-91ec-6ea5a43426e9.xlsx","WS1")</f>
        <v>WS1</v>
      </c>
      <c r="Y375" s="10"/>
      <c r="Z375" s="26" t="s">
        <v>13</v>
      </c>
      <c r="AA375" s="13">
        <v>222</v>
      </c>
      <c r="AB375" s="15">
        <v>0.1</v>
      </c>
      <c r="AC375" s="30" t="s">
        <v>14</v>
      </c>
      <c r="AD375" s="29" t="s">
        <v>663</v>
      </c>
      <c r="AE375" s="32"/>
      <c r="AF375" s="32"/>
      <c r="AG375" s="17"/>
      <c r="AH375" s="27"/>
      <c r="AI375" s="27"/>
      <c r="AJ375" s="11"/>
      <c r="AK375" s="58" t="str">
        <f>HYPERLINK("http://drinc.ca.gov/DNN/Portals/0/SelfCert/29421cce-0255-466a-a704-7cd9aabe704f.pdf","Cert")</f>
        <v>Cert</v>
      </c>
      <c r="AL375" s="58" t="str">
        <f>HYPERLINK("http://drinc.ca.gov/DNN/Portals/0/SelfCert/a016e2ec-39f1-41bf-9253-e71f00becb7b.xlsx","Analysis")</f>
        <v>Analysis</v>
      </c>
    </row>
    <row r="376" spans="1:38" s="19" customFormat="1" ht="14.4" customHeight="1" x14ac:dyDescent="0.3">
      <c r="A376" s="12" t="s">
        <v>56</v>
      </c>
      <c r="B376" s="68" t="s">
        <v>40</v>
      </c>
      <c r="C376" s="73">
        <v>124500</v>
      </c>
      <c r="D376" s="14">
        <v>17296.2</v>
      </c>
      <c r="E376" s="14">
        <v>25615</v>
      </c>
      <c r="F376" s="18">
        <v>0</v>
      </c>
      <c r="G376" s="68" t="s">
        <v>776</v>
      </c>
      <c r="H376" s="64">
        <v>0.16</v>
      </c>
      <c r="I376" s="64">
        <v>0.16</v>
      </c>
      <c r="J376" s="64">
        <v>0.2</v>
      </c>
      <c r="K376" s="71">
        <v>0.16712764909157019</v>
      </c>
      <c r="L376" s="65">
        <v>17998.2</v>
      </c>
      <c r="M376" s="65">
        <v>17998.2</v>
      </c>
      <c r="N376" s="13">
        <v>5906</v>
      </c>
      <c r="O376" s="13">
        <v>5366</v>
      </c>
      <c r="P376" s="30" t="s">
        <v>5</v>
      </c>
      <c r="Q376" s="13">
        <v>18124.8</v>
      </c>
      <c r="R376" s="13">
        <v>16467.599999999999</v>
      </c>
      <c r="S376" s="23">
        <v>17296.2</v>
      </c>
      <c r="T376" s="41"/>
      <c r="U376" s="13">
        <v>34247</v>
      </c>
      <c r="V376" s="13">
        <v>24495</v>
      </c>
      <c r="W376" s="24">
        <v>25615</v>
      </c>
      <c r="X376" s="58" t="str">
        <f>HYPERLINK("https://drinc.ca.gov/DNN/Portals/0/SelfCert/37764e16-8cea-438f-9f26-6f48c20055d7.xlsx","WS1")</f>
        <v>WS1</v>
      </c>
      <c r="Y376" s="10"/>
      <c r="Z376" s="26" t="s">
        <v>13</v>
      </c>
      <c r="AA376" s="13">
        <v>-8318.7999999999993</v>
      </c>
      <c r="AB376" s="66">
        <v>0</v>
      </c>
      <c r="AC376" s="30" t="s">
        <v>14</v>
      </c>
      <c r="AD376" s="29"/>
      <c r="AE376" s="32"/>
      <c r="AF376" s="32"/>
      <c r="AG376" s="17"/>
      <c r="AH376" s="27"/>
      <c r="AI376" s="27"/>
      <c r="AJ376" s="11"/>
      <c r="AK376" s="58" t="str">
        <f>HYPERLINK("https://drinc.ca.gov/DNN/Portals/0/SelfCert/3de462ad-1f44-4623-85a5-d675316c9fc0.pdf","Cert")</f>
        <v>Cert</v>
      </c>
      <c r="AL376" s="58" t="str">
        <f>HYPERLINK("https://drinc.ca.gov/DNN/Portals/0/SelfCert/3085fb7d-5d09-4fc7-8b2e-14acec84a92a.xlsx","Analysis")</f>
        <v>Analysis</v>
      </c>
    </row>
    <row r="377" spans="1:38" s="19" customFormat="1" ht="14.4" customHeight="1" x14ac:dyDescent="0.3">
      <c r="A377" s="12" t="s">
        <v>425</v>
      </c>
      <c r="B377" s="68" t="s">
        <v>16</v>
      </c>
      <c r="C377" s="73">
        <v>12411</v>
      </c>
      <c r="D377" s="14">
        <v>1059.5999999999999</v>
      </c>
      <c r="E377" s="14">
        <v>2866</v>
      </c>
      <c r="F377" s="18">
        <v>0</v>
      </c>
      <c r="G377" s="68" t="s">
        <v>776</v>
      </c>
      <c r="H377" s="64">
        <v>0.16</v>
      </c>
      <c r="I377" s="64">
        <v>0.13</v>
      </c>
      <c r="J377" s="64">
        <v>0.17</v>
      </c>
      <c r="K377" s="71">
        <v>0.24611734253666973</v>
      </c>
      <c r="L377" s="65">
        <v>1100.3</v>
      </c>
      <c r="M377" s="65">
        <v>1100.3</v>
      </c>
      <c r="N377" s="13">
        <v>1100.3</v>
      </c>
      <c r="O377" s="13">
        <v>1018.8</v>
      </c>
      <c r="P377" s="30" t="s">
        <v>4</v>
      </c>
      <c r="Q377" s="13">
        <v>1100.3</v>
      </c>
      <c r="R377" s="13">
        <v>1018.8</v>
      </c>
      <c r="S377" s="23">
        <v>1059.5999999999999</v>
      </c>
      <c r="T377" s="41"/>
      <c r="U377" s="13">
        <v>2866</v>
      </c>
      <c r="V377" s="13">
        <v>2866</v>
      </c>
      <c r="W377" s="24">
        <v>2866</v>
      </c>
      <c r="X377" s="58" t="str">
        <f>HYPERLINK("http://drinc.ca.gov/DNN/Portals/0/SelfCert/5d00baa0-2e21-4d1b-8358-1fdb47fc67c1.xlsx","WS1")</f>
        <v>WS1</v>
      </c>
      <c r="Y377" s="10" t="s">
        <v>426</v>
      </c>
      <c r="Z377" s="26" t="s">
        <v>13</v>
      </c>
      <c r="AA377" s="13">
        <v>-1806.4</v>
      </c>
      <c r="AB377" s="66">
        <v>0</v>
      </c>
      <c r="AC377" s="30" t="s">
        <v>18</v>
      </c>
      <c r="AD377" s="29" t="s">
        <v>732</v>
      </c>
      <c r="AE377" s="32"/>
      <c r="AF377" s="32"/>
      <c r="AG377" s="17"/>
      <c r="AH377" s="27"/>
      <c r="AI377" s="27"/>
      <c r="AJ377" s="11"/>
      <c r="AK377" s="58" t="str">
        <f>HYPERLINK("http://drinc.ca.gov/DNN/Portals/0/SelfCert/a0e39b8b-a5fa-4637-9a39-aef45b703646.pdf","Cert")</f>
        <v>Cert</v>
      </c>
      <c r="AL377" s="58" t="str">
        <f>HYPERLINK("http://drinc.ca.gov/DNN/Portals/0/SelfCert/80e724f6-5f93-429f-bd1f-2d37c6abaebd.xlsx","Analysis")</f>
        <v>Analysis</v>
      </c>
    </row>
    <row r="378" spans="1:38" s="19" customFormat="1" ht="14.4" customHeight="1" x14ac:dyDescent="0.3">
      <c r="A378" s="12" t="s">
        <v>366</v>
      </c>
      <c r="B378" s="68" t="s">
        <v>46</v>
      </c>
      <c r="C378" s="73">
        <v>24154</v>
      </c>
      <c r="D378" s="14">
        <v>2120</v>
      </c>
      <c r="E378" s="14">
        <v>16250</v>
      </c>
      <c r="F378" s="18">
        <v>0</v>
      </c>
      <c r="G378" s="68" t="s">
        <v>776</v>
      </c>
      <c r="H378" s="64">
        <v>0.36</v>
      </c>
      <c r="I378" s="64">
        <v>0.32</v>
      </c>
      <c r="J378" s="64">
        <v>0.3</v>
      </c>
      <c r="K378" s="71">
        <v>0.27775153884867021</v>
      </c>
      <c r="L378" s="65">
        <v>6932.4</v>
      </c>
      <c r="M378" s="65">
        <v>6932.4</v>
      </c>
      <c r="N378" s="13">
        <v>2258</v>
      </c>
      <c r="O378" s="13">
        <v>1982</v>
      </c>
      <c r="P378" s="30" t="s">
        <v>5</v>
      </c>
      <c r="Q378" s="13">
        <v>6929.5</v>
      </c>
      <c r="R378" s="13">
        <v>6082.5</v>
      </c>
      <c r="S378" s="23">
        <v>2120</v>
      </c>
      <c r="T378" s="41"/>
      <c r="U378" s="13">
        <v>16250</v>
      </c>
      <c r="V378" s="13">
        <v>16250</v>
      </c>
      <c r="W378" s="24">
        <v>16250</v>
      </c>
      <c r="X378" s="58" t="str">
        <f>HYPERLINK("http://drinc.ca.gov/DNN/Portals/0/SelfCert/d8d3afc7-e51a-44f2-8c2b-1cfc9992d562.xlsx","WS1")</f>
        <v>WS1</v>
      </c>
      <c r="Y378" s="10"/>
      <c r="Z378" s="26" t="s">
        <v>13</v>
      </c>
      <c r="AA378" s="13">
        <v>-14130</v>
      </c>
      <c r="AB378" s="66">
        <v>0</v>
      </c>
      <c r="AC378" s="30" t="s">
        <v>18</v>
      </c>
      <c r="AD378" s="29" t="s">
        <v>367</v>
      </c>
      <c r="AE378" s="32"/>
      <c r="AF378" s="32"/>
      <c r="AG378" s="17"/>
      <c r="AH378" s="27"/>
      <c r="AI378" s="27"/>
      <c r="AJ378" s="11"/>
      <c r="AK378" s="58" t="str">
        <f>HYPERLINK("http://drinc.ca.gov/DNN/Portals/0/SelfCert/c1f887ba-6f82-45b9-be95-15e94303d005.pdf","Cert")</f>
        <v>Cert</v>
      </c>
      <c r="AL378" s="58" t="str">
        <f>HYPERLINK("http://drinc.ca.gov/DNN/Portals/0/SelfCert/01ae8de1-9aab-475e-8ed8-62f575af247f.xlsx","Analysis")</f>
        <v>Analysis</v>
      </c>
    </row>
    <row r="379" spans="1:38" s="19" customFormat="1" ht="14.4" customHeight="1" x14ac:dyDescent="0.3">
      <c r="A379" s="12" t="s">
        <v>45</v>
      </c>
      <c r="B379" s="68" t="s">
        <v>46</v>
      </c>
      <c r="C379" s="73">
        <v>16529</v>
      </c>
      <c r="D379" s="14">
        <v>4545</v>
      </c>
      <c r="E379" s="14">
        <v>4300</v>
      </c>
      <c r="F379" s="18">
        <v>0.05</v>
      </c>
      <c r="G379" s="68" t="s">
        <v>776</v>
      </c>
      <c r="H379" s="64">
        <v>0.32</v>
      </c>
      <c r="I379" s="64">
        <v>0.3</v>
      </c>
      <c r="J379" s="64">
        <v>0.31</v>
      </c>
      <c r="K379" s="71">
        <v>0.16030534351145032</v>
      </c>
      <c r="L379" s="65">
        <v>4981</v>
      </c>
      <c r="M379" s="65">
        <v>4981</v>
      </c>
      <c r="N379" s="13">
        <v>4981</v>
      </c>
      <c r="O379" s="13">
        <v>4109</v>
      </c>
      <c r="P379" s="30" t="s">
        <v>4</v>
      </c>
      <c r="Q379" s="13">
        <v>4981</v>
      </c>
      <c r="R379" s="13">
        <v>4109</v>
      </c>
      <c r="S379" s="23">
        <v>4545</v>
      </c>
      <c r="T379" s="41"/>
      <c r="U379" s="13">
        <v>4561</v>
      </c>
      <c r="V379" s="13">
        <v>4100</v>
      </c>
      <c r="W379" s="24">
        <v>4300</v>
      </c>
      <c r="X379" s="58" t="str">
        <f>HYPERLINK("http://drinc.ca.gov/DNN/Portals/0/SelfCert/49278ee3-a39a-4b9f-b848-44714aa3274d.xlsx","WS1")</f>
        <v>WS1</v>
      </c>
      <c r="Y379" s="10" t="s">
        <v>47</v>
      </c>
      <c r="Z379" s="26" t="s">
        <v>13</v>
      </c>
      <c r="AA379" s="13">
        <v>245</v>
      </c>
      <c r="AB379" s="15">
        <v>0.05</v>
      </c>
      <c r="AC379" s="30" t="s">
        <v>18</v>
      </c>
      <c r="AD379" s="29" t="s">
        <v>48</v>
      </c>
      <c r="AE379" s="32"/>
      <c r="AF379" s="32"/>
      <c r="AG379" s="17"/>
      <c r="AH379" s="27"/>
      <c r="AI379" s="27"/>
      <c r="AJ379" s="11"/>
      <c r="AK379" s="58" t="str">
        <f>HYPERLINK("http://drinc.ca.gov/DNN/Portals/0/SelfCert/f9b8c7b2-982d-4306-b678-37fb85578269.pdf","Cert")</f>
        <v>Cert</v>
      </c>
      <c r="AL379" s="58" t="str">
        <f>HYPERLINK("http://drinc.ca.gov/DNN/Portals/0/SelfCert/0da35bac-f1b5-48c8-abdc-ab2946ce48ae.pdf","Analysis")</f>
        <v>Analysis</v>
      </c>
    </row>
    <row r="380" spans="1:38" s="19" customFormat="1" ht="14.4" customHeight="1" x14ac:dyDescent="0.3">
      <c r="A380" s="12" t="s">
        <v>180</v>
      </c>
      <c r="B380" s="68" t="s">
        <v>27</v>
      </c>
      <c r="C380" s="73">
        <v>15068.833333333334</v>
      </c>
      <c r="D380" s="14">
        <v>3069</v>
      </c>
      <c r="E380" s="14">
        <v>9813</v>
      </c>
      <c r="F380" s="18">
        <v>0</v>
      </c>
      <c r="G380" s="69" t="s">
        <v>831</v>
      </c>
      <c r="H380" s="64">
        <v>0.25</v>
      </c>
      <c r="I380" s="64">
        <v>0.21</v>
      </c>
      <c r="J380" s="64">
        <v>0.32</v>
      </c>
      <c r="K380" s="71">
        <v>0.22789867940977038</v>
      </c>
      <c r="L380" s="65">
        <v>3388</v>
      </c>
      <c r="M380" s="65">
        <v>3388</v>
      </c>
      <c r="N380" s="13">
        <v>3392</v>
      </c>
      <c r="O380" s="13">
        <v>2746</v>
      </c>
      <c r="P380" s="30" t="s">
        <v>4</v>
      </c>
      <c r="Q380" s="13">
        <v>3392</v>
      </c>
      <c r="R380" s="13">
        <v>2746</v>
      </c>
      <c r="S380" s="23">
        <v>3069</v>
      </c>
      <c r="T380" s="41"/>
      <c r="U380" s="13">
        <v>9813</v>
      </c>
      <c r="V380" s="13">
        <v>9813</v>
      </c>
      <c r="W380" s="24">
        <v>9813</v>
      </c>
      <c r="X380" s="58" t="str">
        <f>HYPERLINK("http://drinc.ca.gov/DNN/Portals/0/SelfCert/1a08dd76-f4de-4adb-abd8-a2ac3dd0723f.xlsx","WS1")</f>
        <v>WS1</v>
      </c>
      <c r="Y380" s="10" t="s">
        <v>181</v>
      </c>
      <c r="Z380" s="26" t="s">
        <v>13</v>
      </c>
      <c r="AA380" s="13">
        <v>-6744</v>
      </c>
      <c r="AB380" s="66">
        <v>0</v>
      </c>
      <c r="AC380" s="30" t="s">
        <v>18</v>
      </c>
      <c r="AD380" s="29" t="s">
        <v>762</v>
      </c>
      <c r="AE380" s="32"/>
      <c r="AF380" s="32"/>
      <c r="AG380" s="17"/>
      <c r="AH380" s="27"/>
      <c r="AI380" s="27"/>
      <c r="AJ380" s="11"/>
      <c r="AK380" s="58" t="str">
        <f>HYPERLINK("http://drinc.ca.gov/DNN/Portals/0/SelfCert/73f79bfc-d2d2-48ac-b4aa-23ed3be1b8ff.pdf","Cert")</f>
        <v>Cert</v>
      </c>
      <c r="AL380" s="56" t="str">
        <f>HYPERLINK("http://drinc.ca.gov/DNN/Portals/0/SelfCert/81a6c388-8de0-4909-a715-f5482b601de9.pdf","Analysis")</f>
        <v>Analysis</v>
      </c>
    </row>
    <row r="381" spans="1:38" s="49" customFormat="1" ht="14.4" customHeight="1" x14ac:dyDescent="0.3">
      <c r="A381" s="43" t="s">
        <v>706</v>
      </c>
      <c r="B381" s="68" t="s">
        <v>58</v>
      </c>
      <c r="C381" s="73" t="s">
        <v>826</v>
      </c>
      <c r="D381" s="45">
        <v>1410.8</v>
      </c>
      <c r="E381" s="45">
        <v>1412</v>
      </c>
      <c r="F381" s="48">
        <v>0</v>
      </c>
      <c r="G381" s="68" t="s">
        <v>805</v>
      </c>
      <c r="H381" s="64" t="s">
        <v>202</v>
      </c>
      <c r="I381" s="64" t="s">
        <v>202</v>
      </c>
      <c r="J381" s="64" t="s">
        <v>202</v>
      </c>
      <c r="K381" s="71" t="s">
        <v>822</v>
      </c>
      <c r="L381" s="64" t="s">
        <v>202</v>
      </c>
      <c r="M381" s="64" t="s">
        <v>202</v>
      </c>
      <c r="N381" s="44">
        <v>568.79999999999995</v>
      </c>
      <c r="O381" s="44">
        <v>350.6</v>
      </c>
      <c r="P381" s="55" t="s">
        <v>5</v>
      </c>
      <c r="Q381" s="44">
        <v>1745.6</v>
      </c>
      <c r="R381" s="44">
        <v>1076</v>
      </c>
      <c r="S381" s="50">
        <v>1410.8</v>
      </c>
      <c r="T381" s="41"/>
      <c r="U381" s="44">
        <v>1412</v>
      </c>
      <c r="V381" s="44">
        <v>1412</v>
      </c>
      <c r="W381" s="51">
        <v>1412</v>
      </c>
      <c r="X381" s="58" t="str">
        <f>HYPERLINK("http://drinc.ca.gov/DNN/Portals/0/SelfCert/ca0fbfda-f938-4269-aa7c-987c064ad902.xlsx","WS1")</f>
        <v>WS1</v>
      </c>
      <c r="Y381" s="41"/>
      <c r="Z381" s="52" t="s">
        <v>13</v>
      </c>
      <c r="AA381" s="44">
        <v>-1.2</v>
      </c>
      <c r="AB381" s="46">
        <v>0</v>
      </c>
      <c r="AC381" s="55" t="s">
        <v>18</v>
      </c>
      <c r="AD381" s="54" t="s">
        <v>707</v>
      </c>
      <c r="AE381" s="32"/>
      <c r="AF381" s="32"/>
      <c r="AG381" s="47"/>
      <c r="AH381" s="53"/>
      <c r="AI381" s="53"/>
      <c r="AJ381" s="42"/>
      <c r="AK381" s="58" t="str">
        <f>HYPERLINK("http://drinc.ca.gov/DNN/Portals/0/SelfCert/709752c2-75ec-43dd-b2b3-7cb5e876fc48.pdf","Cert")</f>
        <v>Cert</v>
      </c>
      <c r="AL381" s="58" t="str">
        <f>HYPERLINK("http://drinc.ca.gov/DNN/Portals/0/SelfCert/77784e22-adbc-4c98-a8a2-5ef682085f59.docx","Analysis")</f>
        <v>Analysis</v>
      </c>
    </row>
  </sheetData>
  <autoFilter ref="A2:AL381"/>
  <customSheetViews>
    <customSheetView guid="{DC70E8E5-0633-4A5D-A643-F1FAEC969184}" scale="70" filter="1" showAutoFilter="1" hiddenRows="1" hiddenColumns="1" topLeftCell="A2">
      <selection activeCell="AS3" sqref="AS1:AY1048576"/>
      <pageMargins left="0.45" right="0.45" top="0.75" bottom="0.75" header="0.3" footer="0.3"/>
      <pageSetup paperSize="3" orientation="landscape" r:id="rId1"/>
      <autoFilter ref="A3:BK382">
        <filterColumn colId="55">
          <filters blank="1"/>
        </filterColumn>
      </autoFilter>
    </customSheetView>
    <customSheetView guid="{6806824A-40B9-4743-A825-4940E5CACC62}" scale="70" fitToPage="1" showAutoFilter="1" hiddenRows="1" topLeftCell="A2">
      <selection activeCell="C395" sqref="C395"/>
      <pageMargins left="0.45" right="0.45" top="0.75" bottom="0.75" header="0.3" footer="0.3"/>
      <pageSetup paperSize="3" scale="88" fitToHeight="0" orientation="landscape" r:id="rId2"/>
      <autoFilter ref="A3:BK382"/>
    </customSheetView>
    <customSheetView guid="{2A4E9C14-509F-4D56-96F9-BD74B92AB67D}" scale="70" fitToPage="1" printArea="1" filter="1" showAutoFilter="1" hiddenRows="1" hiddenColumns="1" topLeftCell="L2">
      <selection activeCell="AC3" sqref="AC1:AC1048576"/>
      <pageMargins left="0.45" right="0.45" top="0.75" bottom="0.75" header="0.3" footer="0.3"/>
      <pageSetup paperSize="3" scale="88" fitToHeight="0" orientation="landscape" r:id="rId3"/>
      <autoFilter ref="A3:BK382">
        <filterColumn colId="55">
          <filters>
            <filter val="candidate for info order or rejection"/>
            <filter val="Management review"/>
            <filter val="needs management review"/>
            <filter val="Possible info order/rejection"/>
          </filters>
        </filterColumn>
      </autoFilter>
    </customSheetView>
    <customSheetView guid="{0CF3896A-F0A5-4EE7-A12C-C8B84E030EC0}" scale="85" fitToPage="1" showAutoFilter="1" hiddenRows="1" topLeftCell="A2">
      <selection activeCell="H388" sqref="H388"/>
      <pageMargins left="0.45" right="0.45" top="0.75" bottom="0.75" header="0.3" footer="0.3"/>
      <pageSetup paperSize="3" scale="25" fitToHeight="0" orientation="landscape" r:id="rId4"/>
      <autoFilter ref="A3:BK382"/>
    </customSheetView>
  </customSheetViews>
  <mergeCells count="8">
    <mergeCell ref="A1:C1"/>
    <mergeCell ref="H1:M1"/>
    <mergeCell ref="D1:G1"/>
    <mergeCell ref="AE1:AJ1"/>
    <mergeCell ref="AK1:AL1"/>
    <mergeCell ref="N1:T1"/>
    <mergeCell ref="U1:Y1"/>
    <mergeCell ref="Z1:AD1"/>
  </mergeCells>
  <hyperlinks>
    <hyperlink ref="AI306" r:id="rId5"/>
    <hyperlink ref="AH251" r:id="rId6"/>
    <hyperlink ref="AH332" r:id="rId7"/>
    <hyperlink ref="AH330" r:id="rId8"/>
    <hyperlink ref="AH317" r:id="rId9"/>
    <hyperlink ref="AH315" r:id="rId10"/>
    <hyperlink ref="AH312" r:id="rId11"/>
    <hyperlink ref="AH287" r:id="rId12"/>
    <hyperlink ref="AH274" r:id="rId13"/>
    <hyperlink ref="AH265" r:id="rId14"/>
    <hyperlink ref="AH261" r:id="rId15"/>
    <hyperlink ref="AH249" r:id="rId16"/>
    <hyperlink ref="AH246" r:id="rId17"/>
    <hyperlink ref="AH153" r:id="rId18"/>
    <hyperlink ref="AH89:AH90" r:id="rId19" display="WS_2"/>
    <hyperlink ref="AH81:AH82" r:id="rId20" display="WS_2"/>
    <hyperlink ref="AH71" r:id="rId21"/>
    <hyperlink ref="AH63" r:id="rId22"/>
    <hyperlink ref="AH22" r:id="rId23"/>
  </hyperlinks>
  <pageMargins left="0.45" right="0.45" top="0.75" bottom="0.75" header="0.3" footer="0.3"/>
  <pageSetup paperSize="3" scale="34" fitToHeight="0" orientation="landscape" r:id="rId24"/>
  <legacy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Self-Certification Submittals</vt:lpstr>
    </vt:vector>
  </TitlesOfParts>
  <Company>SWRCB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 staff</dc:creator>
  <cp:lastPrinted>2016-12-22T20:32:28Z</cp:lastPrinted>
  <dcterms:created xsi:type="dcterms:W3CDTF">2016-06-13T22:54:09Z</dcterms:created>
  <dcterms:modified xsi:type="dcterms:W3CDTF">2016-12-22T20:33:12Z</dcterms:modified>
</cp:coreProperties>
</file>