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nspo_2_Project\"/>
    </mc:Choice>
  </mc:AlternateContent>
  <bookViews>
    <workbookView xWindow="240" yWindow="60" windowWidth="20055" windowHeight="7950"/>
  </bookViews>
  <sheets>
    <sheet name="Worth Analyzes" sheetId="1" r:id="rId1"/>
    <sheet name="Emissions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42" i="2" l="1"/>
  <c r="G43" i="2"/>
  <c r="G44" i="2"/>
  <c r="G45" i="2"/>
  <c r="G41" i="2"/>
  <c r="E52" i="2"/>
  <c r="E53" i="2"/>
  <c r="E54" i="2"/>
  <c r="E51" i="2"/>
  <c r="E45" i="2"/>
  <c r="E46" i="2"/>
  <c r="E47" i="2"/>
  <c r="E44" i="2"/>
  <c r="C52" i="2"/>
  <c r="D52" i="2" s="1"/>
  <c r="C53" i="2"/>
  <c r="D53" i="2" s="1"/>
  <c r="C54" i="2"/>
  <c r="B52" i="2"/>
  <c r="B53" i="2"/>
  <c r="B54" i="2"/>
  <c r="D54" i="2" s="1"/>
  <c r="C51" i="2"/>
  <c r="B51" i="2"/>
  <c r="D51" i="2" s="1"/>
  <c r="C45" i="2"/>
  <c r="C46" i="2"/>
  <c r="C47" i="2"/>
  <c r="C44" i="2"/>
  <c r="B45" i="2"/>
  <c r="D45" i="2" s="1"/>
  <c r="B46" i="2"/>
  <c r="D46" i="2" s="1"/>
  <c r="B47" i="2"/>
  <c r="D47" i="2" s="1"/>
  <c r="B44" i="2"/>
  <c r="D44" i="2" s="1"/>
  <c r="C38" i="2"/>
  <c r="C39" i="2"/>
  <c r="C40" i="2"/>
  <c r="C37" i="2"/>
  <c r="B38" i="2"/>
  <c r="D38" i="2" s="1"/>
  <c r="B39" i="2"/>
  <c r="D39" i="2" s="1"/>
  <c r="B40" i="2"/>
  <c r="D40" i="2" s="1"/>
  <c r="B37" i="2"/>
  <c r="D37" i="2" s="1"/>
  <c r="C110" i="1" l="1"/>
  <c r="C109" i="1"/>
  <c r="C111" i="1" s="1"/>
  <c r="C106" i="1"/>
  <c r="B103" i="1"/>
  <c r="C103" i="1" s="1"/>
  <c r="B94" i="1"/>
  <c r="C94" i="1" s="1"/>
  <c r="B82" i="1"/>
  <c r="C82" i="1" s="1"/>
  <c r="C72" i="1"/>
  <c r="C73" i="1" s="1"/>
  <c r="C71" i="1"/>
  <c r="C68" i="1"/>
  <c r="B65" i="1"/>
  <c r="C65" i="1" s="1"/>
  <c r="B56" i="1"/>
  <c r="C56" i="1" s="1"/>
  <c r="B44" i="1"/>
  <c r="C44" i="1" s="1"/>
  <c r="C36" i="1"/>
  <c r="C35" i="1"/>
  <c r="C34" i="1"/>
  <c r="C33" i="1"/>
  <c r="C30" i="1"/>
  <c r="C27" i="1"/>
  <c r="C18" i="1"/>
  <c r="C6" i="1"/>
  <c r="H20" i="2"/>
  <c r="G20" i="2"/>
  <c r="H19" i="2"/>
  <c r="G19" i="2"/>
  <c r="H18" i="2"/>
  <c r="G18" i="2"/>
  <c r="H15" i="2"/>
  <c r="G15" i="2"/>
  <c r="H14" i="2"/>
  <c r="G14" i="2"/>
  <c r="H13" i="2"/>
  <c r="G13" i="2"/>
  <c r="C32" i="2"/>
  <c r="C31" i="2"/>
  <c r="C30" i="2"/>
  <c r="C29" i="2"/>
  <c r="C25" i="2"/>
  <c r="C24" i="2"/>
  <c r="C23" i="2"/>
  <c r="C22" i="2"/>
  <c r="B32" i="2"/>
  <c r="B31" i="2"/>
  <c r="B30" i="2"/>
  <c r="B29" i="2"/>
  <c r="B25" i="2"/>
  <c r="B24" i="2"/>
  <c r="B23" i="2"/>
  <c r="B22" i="2"/>
  <c r="C18" i="2"/>
  <c r="C17" i="2"/>
  <c r="C16" i="2"/>
  <c r="C15" i="2"/>
  <c r="B18" i="2"/>
  <c r="B17" i="2"/>
  <c r="B16" i="2"/>
  <c r="B15" i="2"/>
  <c r="F13" i="2"/>
  <c r="F12" i="2"/>
  <c r="M8" i="2"/>
  <c r="M7" i="2"/>
  <c r="M6" i="2"/>
  <c r="M5" i="2"/>
  <c r="M4" i="2"/>
  <c r="M3" i="2"/>
  <c r="B27" i="1"/>
  <c r="I30" i="1"/>
  <c r="B18" i="1"/>
  <c r="B6" i="1"/>
  <c r="G5" i="1"/>
  <c r="H5" i="1" s="1"/>
  <c r="H4" i="1"/>
  <c r="C112" i="1" l="1"/>
  <c r="C74" i="1"/>
</calcChain>
</file>

<file path=xl/sharedStrings.xml><?xml version="1.0" encoding="utf-8"?>
<sst xmlns="http://schemas.openxmlformats.org/spreadsheetml/2006/main" count="273" uniqueCount="94">
  <si>
    <t>Product</t>
  </si>
  <si>
    <t>Cotton</t>
  </si>
  <si>
    <t>Cottonseed</t>
  </si>
  <si>
    <t>Total Product</t>
  </si>
  <si>
    <t>Item</t>
  </si>
  <si>
    <t>Seed</t>
  </si>
  <si>
    <t>Fertilizer</t>
  </si>
  <si>
    <t>Chemicals</t>
  </si>
  <si>
    <t>Operations</t>
  </si>
  <si>
    <t>Machinary</t>
  </si>
  <si>
    <t>Machine Repair</t>
  </si>
  <si>
    <t>Ginning</t>
  </si>
  <si>
    <t>Irrigation</t>
  </si>
  <si>
    <t>Interest inputs</t>
  </si>
  <si>
    <t>Total Operating Costs</t>
  </si>
  <si>
    <t>Hired Labor</t>
  </si>
  <si>
    <t>Opportunity Cost of Unpaid Labor</t>
  </si>
  <si>
    <t>Capital Recovery of Equipment</t>
  </si>
  <si>
    <t>Taxes/Insurance</t>
  </si>
  <si>
    <t>General Farm</t>
  </si>
  <si>
    <t>Government Subsidies</t>
  </si>
  <si>
    <t>Added Value Inputs</t>
  </si>
  <si>
    <t>Worth ($/acre)</t>
  </si>
  <si>
    <t>Cost ($/acre)</t>
  </si>
  <si>
    <t>$/lb</t>
  </si>
  <si>
    <t>bales/acre</t>
  </si>
  <si>
    <t>lb/bales</t>
  </si>
  <si>
    <t>$/acre</t>
  </si>
  <si>
    <t>Opportunity Cost of Land</t>
  </si>
  <si>
    <t>lb/bale</t>
  </si>
  <si>
    <t>bale/acre</t>
  </si>
  <si>
    <t>Total Overhead Costs</t>
  </si>
  <si>
    <t>+</t>
  </si>
  <si>
    <t>-</t>
  </si>
  <si>
    <t>Worth ($)</t>
  </si>
  <si>
    <t>Cost ($)</t>
  </si>
  <si>
    <t>Pollutant</t>
  </si>
  <si>
    <t>Emission Rate-Truck (g/km/veh)</t>
  </si>
  <si>
    <t>Emission Rate-Rail (g/km*ton/veh)</t>
  </si>
  <si>
    <t>Distance by Rail (km)</t>
  </si>
  <si>
    <t>Distance by Road (km)</t>
  </si>
  <si>
    <t>bales</t>
  </si>
  <si>
    <t>Weight Shipped (ton)</t>
  </si>
  <si>
    <t>lb</t>
  </si>
  <si>
    <t>ton</t>
  </si>
  <si>
    <t>Percent Shipped by Rail</t>
  </si>
  <si>
    <t>Percent Shipped by Truck</t>
  </si>
  <si>
    <t>2% growth for:</t>
  </si>
  <si>
    <t>5year</t>
  </si>
  <si>
    <r>
      <t>CO</t>
    </r>
    <r>
      <rPr>
        <vertAlign val="subscript"/>
        <sz val="12"/>
        <color theme="1"/>
        <rFont val="Times New Roman"/>
        <family val="1"/>
      </rPr>
      <t>2</t>
    </r>
  </si>
  <si>
    <r>
      <t>NO</t>
    </r>
    <r>
      <rPr>
        <vertAlign val="subscript"/>
        <sz val="12"/>
        <color theme="1"/>
        <rFont val="Times New Roman"/>
        <family val="1"/>
      </rPr>
      <t>x</t>
    </r>
  </si>
  <si>
    <r>
      <t>PM</t>
    </r>
    <r>
      <rPr>
        <vertAlign val="subscript"/>
        <sz val="12"/>
        <color theme="1"/>
        <rFont val="Times New Roman"/>
        <family val="1"/>
      </rPr>
      <t>10</t>
    </r>
  </si>
  <si>
    <r>
      <t>PM</t>
    </r>
    <r>
      <rPr>
        <vertAlign val="subscript"/>
        <sz val="12"/>
        <color theme="1"/>
        <rFont val="Times New Roman"/>
        <family val="1"/>
      </rPr>
      <t>2.5</t>
    </r>
  </si>
  <si>
    <t>Present (2017)</t>
  </si>
  <si>
    <t>2017 Weight</t>
  </si>
  <si>
    <t>2027 Weight</t>
  </si>
  <si>
    <t>Emissions-Rail  (kg/veh)</t>
  </si>
  <si>
    <t>Emissions-Truck   (kg/veh)</t>
  </si>
  <si>
    <t>Present (2017) Diverting 90% Truck Freight to Rail</t>
  </si>
  <si>
    <t>Present (2017) Diverting 50% Rail Freight to Truck</t>
  </si>
  <si>
    <t>Added Cost Inputs</t>
  </si>
  <si>
    <t>Worth ($/t*mi)</t>
  </si>
  <si>
    <t>Shipping by Truck</t>
  </si>
  <si>
    <t>Shipping by Rail</t>
  </si>
  <si>
    <t>Ton Mile Road</t>
  </si>
  <si>
    <t>Ton Mile Rail</t>
  </si>
  <si>
    <t>UD</t>
  </si>
  <si>
    <t>D90Tr</t>
  </si>
  <si>
    <t>D50R</t>
  </si>
  <si>
    <t>Shipment by Road (ton*mile)</t>
  </si>
  <si>
    <t>Shipment by Rail (ton*mile)</t>
  </si>
  <si>
    <t xml:space="preserve">Classification </t>
  </si>
  <si>
    <t>Undiverted Shipping (2027)</t>
  </si>
  <si>
    <t>Divert 90% Truck to Rail (2027)</t>
  </si>
  <si>
    <t>Divert 50% Rail to Truck (2027)</t>
  </si>
  <si>
    <t>Undiverted Cost Analysis in 2027</t>
  </si>
  <si>
    <t>5,366,380 acres</t>
  </si>
  <si>
    <t>Total Shipping Costs</t>
  </si>
  <si>
    <t>--</t>
  </si>
  <si>
    <t>Total Product Value</t>
  </si>
  <si>
    <t xml:space="preserve">Value of Production </t>
  </si>
  <si>
    <t xml:space="preserve">Operating Costs </t>
  </si>
  <si>
    <t xml:space="preserve">Allocated Overhead Costs </t>
  </si>
  <si>
    <t>Cost Analysis in 2027 Diverting 90% Truck Freight to Rail</t>
  </si>
  <si>
    <t>Cost Analysis in 2027 Diverting 50% Rail Freight to Truck</t>
  </si>
  <si>
    <t>Number of Trucks</t>
  </si>
  <si>
    <t>Number of 100-Car Train Units</t>
  </si>
  <si>
    <t>Emissions-Truck       (kg)</t>
  </si>
  <si>
    <t>Emissions-Rail       (kg)</t>
  </si>
  <si>
    <t>Forecasting (2027)</t>
  </si>
  <si>
    <t>Forecasting (2027) Diverting 90% Truck Freight to Rail</t>
  </si>
  <si>
    <t>Forecasting (2027) Diverting 50% Rail Freight to Truck</t>
  </si>
  <si>
    <t>Total               (kg)</t>
  </si>
  <si>
    <t>Benefit                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</si>
</sst>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u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 applyFill="1"/>
    <xf numFmtId="0" fontId="1" fillId="9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1" fillId="6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 wrapText="1"/>
    </xf>
    <xf numFmtId="0" fontId="1" fillId="1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abSelected="1" topLeftCell="A75" workbookViewId="0">
      <selection activeCell="C112" sqref="A78:C113"/>
    </sheetView>
  </sheetViews>
  <sheetFormatPr defaultRowHeight="15" x14ac:dyDescent="0.25"/>
  <cols>
    <col min="1" max="1" width="31.140625" bestFit="1" customWidth="1"/>
    <col min="2" max="2" width="14.140625" bestFit="1" customWidth="1"/>
    <col min="3" max="3" width="15" style="7" customWidth="1"/>
  </cols>
  <sheetData>
    <row r="1" spans="1:8" ht="15.75" x14ac:dyDescent="0.25">
      <c r="A1" s="35" t="s">
        <v>75</v>
      </c>
      <c r="B1" s="35"/>
    </row>
    <row r="2" spans="1:8" ht="15.75" x14ac:dyDescent="0.25">
      <c r="A2" s="31" t="s">
        <v>80</v>
      </c>
      <c r="B2" s="31"/>
      <c r="C2" s="25" t="s">
        <v>76</v>
      </c>
      <c r="D2" s="2"/>
      <c r="E2" s="2"/>
    </row>
    <row r="3" spans="1:8" ht="15.75" x14ac:dyDescent="0.25">
      <c r="A3" s="5" t="s">
        <v>0</v>
      </c>
      <c r="B3" s="15" t="s">
        <v>22</v>
      </c>
      <c r="C3" s="28" t="s">
        <v>34</v>
      </c>
      <c r="D3" s="1"/>
      <c r="E3" s="1" t="s">
        <v>24</v>
      </c>
      <c r="F3" t="s">
        <v>25</v>
      </c>
      <c r="G3" t="s">
        <v>26</v>
      </c>
      <c r="H3" t="s">
        <v>27</v>
      </c>
    </row>
    <row r="4" spans="1:8" ht="15.75" x14ac:dyDescent="0.25">
      <c r="A4" s="3" t="s">
        <v>1</v>
      </c>
      <c r="B4" s="27">
        <v>703.8</v>
      </c>
      <c r="C4" s="22"/>
      <c r="D4" s="1" t="s">
        <v>32</v>
      </c>
      <c r="E4" s="1">
        <v>0.69</v>
      </c>
      <c r="F4">
        <v>2.04</v>
      </c>
      <c r="G4">
        <v>500</v>
      </c>
      <c r="H4">
        <f>E4*F4*G4</f>
        <v>703.8</v>
      </c>
    </row>
    <row r="5" spans="1:8" ht="15.75" x14ac:dyDescent="0.25">
      <c r="A5" s="3" t="s">
        <v>2</v>
      </c>
      <c r="B5" s="27">
        <v>81</v>
      </c>
      <c r="C5" s="21"/>
      <c r="D5" s="1" t="s">
        <v>32</v>
      </c>
      <c r="E5" s="1">
        <v>0.1</v>
      </c>
      <c r="F5">
        <v>1</v>
      </c>
      <c r="G5">
        <f>1.62*G4</f>
        <v>810</v>
      </c>
      <c r="H5">
        <f>E5*F5*G5</f>
        <v>81</v>
      </c>
    </row>
    <row r="6" spans="1:8" ht="15.75" x14ac:dyDescent="0.25">
      <c r="A6" s="6" t="s">
        <v>3</v>
      </c>
      <c r="B6" s="6">
        <f>SUM(B4:B5)</f>
        <v>784.8</v>
      </c>
      <c r="C6" s="18">
        <f>B6*5366380</f>
        <v>4211535023.9999995</v>
      </c>
      <c r="D6" s="1" t="s">
        <v>32</v>
      </c>
      <c r="E6" s="1"/>
    </row>
    <row r="7" spans="1:8" ht="15.75" x14ac:dyDescent="0.25">
      <c r="A7" s="30" t="s">
        <v>81</v>
      </c>
      <c r="B7" s="30"/>
      <c r="C7" s="25" t="s">
        <v>76</v>
      </c>
      <c r="D7" s="2"/>
      <c r="E7" s="2"/>
    </row>
    <row r="8" spans="1:8" ht="15.75" x14ac:dyDescent="0.25">
      <c r="A8" s="4" t="s">
        <v>4</v>
      </c>
      <c r="B8" s="24" t="s">
        <v>23</v>
      </c>
      <c r="C8" s="28" t="s">
        <v>35</v>
      </c>
      <c r="D8" s="1"/>
      <c r="E8" s="1"/>
    </row>
    <row r="9" spans="1:8" ht="15.75" x14ac:dyDescent="0.25">
      <c r="A9" s="3" t="s">
        <v>5</v>
      </c>
      <c r="B9" s="27">
        <v>100</v>
      </c>
      <c r="C9" s="22"/>
      <c r="D9" s="1" t="s">
        <v>33</v>
      </c>
      <c r="E9" s="1"/>
    </row>
    <row r="10" spans="1:8" ht="15.75" x14ac:dyDescent="0.25">
      <c r="A10" s="3" t="s">
        <v>6</v>
      </c>
      <c r="B10" s="27">
        <v>98.31</v>
      </c>
      <c r="C10" s="22"/>
      <c r="D10" s="1" t="s">
        <v>33</v>
      </c>
      <c r="E10" s="1"/>
    </row>
    <row r="11" spans="1:8" ht="15.75" x14ac:dyDescent="0.25">
      <c r="A11" s="3" t="s">
        <v>7</v>
      </c>
      <c r="B11" s="27">
        <v>113.21</v>
      </c>
      <c r="C11" s="22"/>
      <c r="D11" s="1" t="s">
        <v>33</v>
      </c>
      <c r="E11" s="1"/>
    </row>
    <row r="12" spans="1:8" ht="15.75" x14ac:dyDescent="0.25">
      <c r="A12" s="3" t="s">
        <v>8</v>
      </c>
      <c r="B12" s="27">
        <v>37.47</v>
      </c>
      <c r="C12" s="22"/>
      <c r="D12" s="1" t="s">
        <v>33</v>
      </c>
      <c r="E12" s="1"/>
    </row>
    <row r="13" spans="1:8" ht="15.75" x14ac:dyDescent="0.25">
      <c r="A13" s="3" t="s">
        <v>9</v>
      </c>
      <c r="B13" s="27">
        <v>32.450000000000003</v>
      </c>
      <c r="C13" s="22"/>
      <c r="D13" s="1" t="s">
        <v>33</v>
      </c>
      <c r="E13" s="1"/>
    </row>
    <row r="14" spans="1:8" ht="15.75" x14ac:dyDescent="0.25">
      <c r="A14" s="3" t="s">
        <v>10</v>
      </c>
      <c r="B14" s="27">
        <v>53.31</v>
      </c>
      <c r="C14" s="22"/>
      <c r="D14" s="1" t="s">
        <v>33</v>
      </c>
      <c r="E14" s="1"/>
    </row>
    <row r="15" spans="1:8" ht="15.75" x14ac:dyDescent="0.25">
      <c r="A15" s="3" t="s">
        <v>11</v>
      </c>
      <c r="B15" s="27">
        <v>196.23</v>
      </c>
      <c r="C15" s="22"/>
      <c r="D15" s="1" t="s">
        <v>33</v>
      </c>
      <c r="E15" s="1"/>
    </row>
    <row r="16" spans="1:8" ht="15.75" x14ac:dyDescent="0.25">
      <c r="A16" s="3" t="s">
        <v>12</v>
      </c>
      <c r="B16" s="27">
        <v>0.52</v>
      </c>
      <c r="C16" s="22"/>
      <c r="D16" s="1" t="s">
        <v>33</v>
      </c>
      <c r="E16" s="1"/>
    </row>
    <row r="17" spans="1:9" ht="15.75" x14ac:dyDescent="0.25">
      <c r="A17" s="3" t="s">
        <v>13</v>
      </c>
      <c r="B17" s="27">
        <v>1.45</v>
      </c>
      <c r="C17" s="21"/>
      <c r="D17" s="1" t="s">
        <v>33</v>
      </c>
      <c r="E17" s="1"/>
    </row>
    <row r="18" spans="1:9" ht="15.75" x14ac:dyDescent="0.25">
      <c r="A18" s="6" t="s">
        <v>14</v>
      </c>
      <c r="B18" s="6">
        <f>SUM(B9:B17)</f>
        <v>632.95000000000005</v>
      </c>
      <c r="C18" s="29">
        <f>B18*5366380</f>
        <v>3396650221.0000005</v>
      </c>
      <c r="D18" s="1" t="s">
        <v>33</v>
      </c>
      <c r="E18" s="1"/>
    </row>
    <row r="19" spans="1:9" ht="15.75" x14ac:dyDescent="0.25">
      <c r="A19" s="30" t="s">
        <v>82</v>
      </c>
      <c r="B19" s="30"/>
      <c r="C19" s="25" t="s">
        <v>76</v>
      </c>
      <c r="D19" s="2"/>
      <c r="E19" s="2"/>
    </row>
    <row r="20" spans="1:9" ht="15.75" x14ac:dyDescent="0.25">
      <c r="A20" s="4" t="s">
        <v>4</v>
      </c>
      <c r="B20" s="24" t="s">
        <v>23</v>
      </c>
      <c r="C20" s="28" t="s">
        <v>35</v>
      </c>
      <c r="D20" s="1"/>
      <c r="E20" s="1"/>
    </row>
    <row r="21" spans="1:9" ht="15.75" x14ac:dyDescent="0.25">
      <c r="A21" s="3" t="s">
        <v>15</v>
      </c>
      <c r="B21" s="27">
        <v>18.22</v>
      </c>
      <c r="C21" s="22"/>
      <c r="D21" s="1" t="s">
        <v>33</v>
      </c>
      <c r="E21" s="1"/>
    </row>
    <row r="22" spans="1:9" ht="15.75" x14ac:dyDescent="0.25">
      <c r="A22" s="3" t="s">
        <v>16</v>
      </c>
      <c r="B22" s="27">
        <v>22.25</v>
      </c>
      <c r="C22" s="22"/>
      <c r="D22" s="1" t="s">
        <v>33</v>
      </c>
      <c r="E22" s="1"/>
    </row>
    <row r="23" spans="1:9" ht="15.75" x14ac:dyDescent="0.25">
      <c r="A23" s="3" t="s">
        <v>17</v>
      </c>
      <c r="B23" s="27">
        <v>171.73</v>
      </c>
      <c r="C23" s="22"/>
      <c r="D23" s="1" t="s">
        <v>33</v>
      </c>
      <c r="E23" s="1"/>
    </row>
    <row r="24" spans="1:9" ht="15.75" x14ac:dyDescent="0.25">
      <c r="A24" s="3" t="s">
        <v>28</v>
      </c>
      <c r="B24" s="27">
        <v>118.99</v>
      </c>
      <c r="C24" s="22"/>
      <c r="D24" s="1" t="s">
        <v>33</v>
      </c>
      <c r="E24" s="1"/>
    </row>
    <row r="25" spans="1:9" ht="15.75" x14ac:dyDescent="0.25">
      <c r="A25" s="3" t="s">
        <v>18</v>
      </c>
      <c r="B25" s="27">
        <v>11.85</v>
      </c>
      <c r="C25" s="22"/>
      <c r="D25" s="1" t="s">
        <v>33</v>
      </c>
      <c r="E25" s="1"/>
    </row>
    <row r="26" spans="1:9" ht="15.75" x14ac:dyDescent="0.25">
      <c r="A26" s="3" t="s">
        <v>19</v>
      </c>
      <c r="B26" s="27">
        <v>16.649999999999999</v>
      </c>
      <c r="C26" s="22"/>
      <c r="D26" s="1" t="s">
        <v>33</v>
      </c>
      <c r="E26" s="1"/>
    </row>
    <row r="27" spans="1:9" ht="15.75" x14ac:dyDescent="0.25">
      <c r="A27" s="6" t="s">
        <v>31</v>
      </c>
      <c r="B27" s="14">
        <f>SUM(B21:B26)</f>
        <v>359.69</v>
      </c>
      <c r="C27" s="16">
        <f>B27*5366380</f>
        <v>1930233222.2</v>
      </c>
      <c r="D27" s="1" t="s">
        <v>33</v>
      </c>
      <c r="E27" s="1"/>
    </row>
    <row r="28" spans="1:9" ht="15.75" x14ac:dyDescent="0.25">
      <c r="A28" s="31" t="s">
        <v>21</v>
      </c>
      <c r="B28" s="32"/>
      <c r="C28" s="26" t="s">
        <v>76</v>
      </c>
      <c r="D28" s="1"/>
      <c r="E28" s="1"/>
    </row>
    <row r="29" spans="1:9" ht="15.75" x14ac:dyDescent="0.25">
      <c r="A29" s="5" t="s">
        <v>4</v>
      </c>
      <c r="B29" s="15" t="s">
        <v>22</v>
      </c>
      <c r="C29" s="17" t="s">
        <v>34</v>
      </c>
      <c r="D29" s="1"/>
      <c r="E29" s="1"/>
      <c r="F29" t="s">
        <v>24</v>
      </c>
      <c r="G29" t="s">
        <v>29</v>
      </c>
      <c r="H29" t="s">
        <v>30</v>
      </c>
    </row>
    <row r="30" spans="1:9" ht="15.75" x14ac:dyDescent="0.25">
      <c r="A30" s="6" t="s">
        <v>20</v>
      </c>
      <c r="B30" s="14">
        <v>499.8</v>
      </c>
      <c r="C30" s="18">
        <f>B30*5366380</f>
        <v>2682116724</v>
      </c>
      <c r="D30" s="1" t="s">
        <v>32</v>
      </c>
      <c r="F30">
        <v>0.49</v>
      </c>
      <c r="G30">
        <v>500</v>
      </c>
      <c r="H30">
        <v>2.04</v>
      </c>
      <c r="I30">
        <f>F30*G30*H30</f>
        <v>499.8</v>
      </c>
    </row>
    <row r="31" spans="1:9" ht="15.75" x14ac:dyDescent="0.25">
      <c r="A31" s="30" t="s">
        <v>60</v>
      </c>
      <c r="B31" s="33"/>
      <c r="C31" s="19"/>
      <c r="D31" s="1"/>
    </row>
    <row r="32" spans="1:9" ht="15.75" x14ac:dyDescent="0.25">
      <c r="A32" s="5" t="s">
        <v>4</v>
      </c>
      <c r="B32" s="15" t="s">
        <v>61</v>
      </c>
      <c r="C32" s="17" t="s">
        <v>34</v>
      </c>
      <c r="D32" s="1"/>
    </row>
    <row r="33" spans="1:4" ht="15.75" x14ac:dyDescent="0.25">
      <c r="A33" s="3" t="s">
        <v>62</v>
      </c>
      <c r="B33" s="3">
        <v>3.7000000000000002E-3</v>
      </c>
      <c r="C33" s="20">
        <f>B33*853639638.3</f>
        <v>3158466.6617100001</v>
      </c>
      <c r="D33" s="1" t="s">
        <v>33</v>
      </c>
    </row>
    <row r="34" spans="1:4" ht="15.75" x14ac:dyDescent="0.25">
      <c r="A34" s="3" t="s">
        <v>63</v>
      </c>
      <c r="B34" s="3">
        <v>2.9999999999999997E-4</v>
      </c>
      <c r="C34" s="20">
        <f>B34*90132337.02</f>
        <v>27039.701105999997</v>
      </c>
      <c r="D34" s="1" t="s">
        <v>33</v>
      </c>
    </row>
    <row r="35" spans="1:4" ht="15.75" x14ac:dyDescent="0.25">
      <c r="A35" s="6" t="s">
        <v>77</v>
      </c>
      <c r="B35" s="23" t="s">
        <v>78</v>
      </c>
      <c r="C35" s="16">
        <f>SUM(C33:C34)</f>
        <v>3185506.3628160004</v>
      </c>
      <c r="D35" s="1" t="s">
        <v>33</v>
      </c>
    </row>
    <row r="36" spans="1:4" ht="15.75" customHeight="1" x14ac:dyDescent="0.25">
      <c r="A36" s="34" t="s">
        <v>79</v>
      </c>
      <c r="B36" s="34"/>
      <c r="C36" s="34">
        <f>(C6+C30)-(C18+C27+C35)</f>
        <v>1563582798.4371834</v>
      </c>
    </row>
    <row r="37" spans="1:4" ht="15.75" customHeight="1" x14ac:dyDescent="0.25">
      <c r="A37" s="34"/>
      <c r="B37" s="34"/>
      <c r="C37" s="34"/>
    </row>
    <row r="38" spans="1:4" ht="15.75" x14ac:dyDescent="0.25">
      <c r="A38" s="9"/>
      <c r="B38" s="9"/>
    </row>
    <row r="39" spans="1:4" ht="15.75" x14ac:dyDescent="0.25">
      <c r="A39" s="35" t="s">
        <v>83</v>
      </c>
      <c r="B39" s="35"/>
      <c r="C39" s="35"/>
    </row>
    <row r="40" spans="1:4" ht="15.75" x14ac:dyDescent="0.25">
      <c r="A40" s="31" t="s">
        <v>80</v>
      </c>
      <c r="B40" s="31"/>
      <c r="C40" s="25" t="s">
        <v>76</v>
      </c>
    </row>
    <row r="41" spans="1:4" ht="15.75" x14ac:dyDescent="0.25">
      <c r="A41" s="5" t="s">
        <v>0</v>
      </c>
      <c r="B41" s="15" t="s">
        <v>22</v>
      </c>
      <c r="C41" s="28" t="s">
        <v>34</v>
      </c>
    </row>
    <row r="42" spans="1:4" ht="15.75" x14ac:dyDescent="0.25">
      <c r="A42" s="3" t="s">
        <v>1</v>
      </c>
      <c r="B42" s="27">
        <v>703.8</v>
      </c>
      <c r="C42" s="22"/>
    </row>
    <row r="43" spans="1:4" ht="15.75" x14ac:dyDescent="0.25">
      <c r="A43" s="3" t="s">
        <v>2</v>
      </c>
      <c r="B43" s="27">
        <v>81</v>
      </c>
      <c r="C43" s="21"/>
    </row>
    <row r="44" spans="1:4" ht="15.75" x14ac:dyDescent="0.25">
      <c r="A44" s="6" t="s">
        <v>3</v>
      </c>
      <c r="B44" s="6">
        <f>SUM(B42:B43)</f>
        <v>784.8</v>
      </c>
      <c r="C44" s="18">
        <f>B44*5366380</f>
        <v>4211535023.9999995</v>
      </c>
    </row>
    <row r="45" spans="1:4" ht="15.75" x14ac:dyDescent="0.25">
      <c r="A45" s="30" t="s">
        <v>81</v>
      </c>
      <c r="B45" s="30"/>
      <c r="C45" s="25" t="s">
        <v>76</v>
      </c>
    </row>
    <row r="46" spans="1:4" ht="15.75" x14ac:dyDescent="0.25">
      <c r="A46" s="4" t="s">
        <v>4</v>
      </c>
      <c r="B46" s="24" t="s">
        <v>23</v>
      </c>
      <c r="C46" s="28" t="s">
        <v>35</v>
      </c>
    </row>
    <row r="47" spans="1:4" ht="15.75" x14ac:dyDescent="0.25">
      <c r="A47" s="3" t="s">
        <v>5</v>
      </c>
      <c r="B47" s="27">
        <v>100</v>
      </c>
      <c r="C47" s="22"/>
    </row>
    <row r="48" spans="1:4" ht="15.75" x14ac:dyDescent="0.25">
      <c r="A48" s="3" t="s">
        <v>6</v>
      </c>
      <c r="B48" s="27">
        <v>98.31</v>
      </c>
      <c r="C48" s="22"/>
    </row>
    <row r="49" spans="1:3" ht="15.75" x14ac:dyDescent="0.25">
      <c r="A49" s="3" t="s">
        <v>7</v>
      </c>
      <c r="B49" s="27">
        <v>113.21</v>
      </c>
      <c r="C49" s="22"/>
    </row>
    <row r="50" spans="1:3" ht="15.75" x14ac:dyDescent="0.25">
      <c r="A50" s="3" t="s">
        <v>8</v>
      </c>
      <c r="B50" s="27">
        <v>37.47</v>
      </c>
      <c r="C50" s="22"/>
    </row>
    <row r="51" spans="1:3" ht="15.75" x14ac:dyDescent="0.25">
      <c r="A51" s="3" t="s">
        <v>9</v>
      </c>
      <c r="B51" s="27">
        <v>32.450000000000003</v>
      </c>
      <c r="C51" s="22"/>
    </row>
    <row r="52" spans="1:3" ht="15.75" x14ac:dyDescent="0.25">
      <c r="A52" s="3" t="s">
        <v>10</v>
      </c>
      <c r="B52" s="27">
        <v>53.31</v>
      </c>
      <c r="C52" s="22"/>
    </row>
    <row r="53" spans="1:3" ht="15.75" x14ac:dyDescent="0.25">
      <c r="A53" s="3" t="s">
        <v>11</v>
      </c>
      <c r="B53" s="27">
        <v>196.23</v>
      </c>
      <c r="C53" s="22"/>
    </row>
    <row r="54" spans="1:3" ht="15.75" x14ac:dyDescent="0.25">
      <c r="A54" s="3" t="s">
        <v>12</v>
      </c>
      <c r="B54" s="27">
        <v>0.52</v>
      </c>
      <c r="C54" s="22"/>
    </row>
    <row r="55" spans="1:3" ht="15.75" x14ac:dyDescent="0.25">
      <c r="A55" s="3" t="s">
        <v>13</v>
      </c>
      <c r="B55" s="27">
        <v>1.45</v>
      </c>
      <c r="C55" s="21"/>
    </row>
    <row r="56" spans="1:3" ht="15.75" x14ac:dyDescent="0.25">
      <c r="A56" s="6" t="s">
        <v>14</v>
      </c>
      <c r="B56" s="6">
        <f>SUM(B47:B55)</f>
        <v>632.95000000000005</v>
      </c>
      <c r="C56" s="29">
        <f>B56*5366380</f>
        <v>3396650221.0000005</v>
      </c>
    </row>
    <row r="57" spans="1:3" ht="15.75" x14ac:dyDescent="0.25">
      <c r="A57" s="30" t="s">
        <v>82</v>
      </c>
      <c r="B57" s="30"/>
      <c r="C57" s="25" t="s">
        <v>76</v>
      </c>
    </row>
    <row r="58" spans="1:3" ht="15.75" x14ac:dyDescent="0.25">
      <c r="A58" s="4" t="s">
        <v>4</v>
      </c>
      <c r="B58" s="24" t="s">
        <v>23</v>
      </c>
      <c r="C58" s="28" t="s">
        <v>35</v>
      </c>
    </row>
    <row r="59" spans="1:3" ht="15.75" x14ac:dyDescent="0.25">
      <c r="A59" s="3" t="s">
        <v>15</v>
      </c>
      <c r="B59" s="27">
        <v>18.22</v>
      </c>
      <c r="C59" s="22"/>
    </row>
    <row r="60" spans="1:3" ht="15.75" x14ac:dyDescent="0.25">
      <c r="A60" s="3" t="s">
        <v>16</v>
      </c>
      <c r="B60" s="27">
        <v>22.25</v>
      </c>
      <c r="C60" s="22"/>
    </row>
    <row r="61" spans="1:3" ht="15.75" x14ac:dyDescent="0.25">
      <c r="A61" s="3" t="s">
        <v>17</v>
      </c>
      <c r="B61" s="27">
        <v>171.73</v>
      </c>
      <c r="C61" s="22"/>
    </row>
    <row r="62" spans="1:3" ht="15.75" x14ac:dyDescent="0.25">
      <c r="A62" s="3" t="s">
        <v>28</v>
      </c>
      <c r="B62" s="27">
        <v>118.99</v>
      </c>
      <c r="C62" s="22"/>
    </row>
    <row r="63" spans="1:3" ht="15.75" x14ac:dyDescent="0.25">
      <c r="A63" s="3" t="s">
        <v>18</v>
      </c>
      <c r="B63" s="27">
        <v>11.85</v>
      </c>
      <c r="C63" s="22"/>
    </row>
    <row r="64" spans="1:3" ht="15.75" x14ac:dyDescent="0.25">
      <c r="A64" s="3" t="s">
        <v>19</v>
      </c>
      <c r="B64" s="27">
        <v>16.649999999999999</v>
      </c>
      <c r="C64" s="22"/>
    </row>
    <row r="65" spans="1:3" ht="15.75" x14ac:dyDescent="0.25">
      <c r="A65" s="6" t="s">
        <v>31</v>
      </c>
      <c r="B65" s="14">
        <f>SUM(B59:B64)</f>
        <v>359.69</v>
      </c>
      <c r="C65" s="16">
        <f>B65*5366380</f>
        <v>1930233222.2</v>
      </c>
    </row>
    <row r="66" spans="1:3" ht="15.75" x14ac:dyDescent="0.25">
      <c r="A66" s="31" t="s">
        <v>21</v>
      </c>
      <c r="B66" s="32"/>
      <c r="C66" s="26" t="s">
        <v>76</v>
      </c>
    </row>
    <row r="67" spans="1:3" ht="15.75" x14ac:dyDescent="0.25">
      <c r="A67" s="5" t="s">
        <v>4</v>
      </c>
      <c r="B67" s="15" t="s">
        <v>22</v>
      </c>
      <c r="C67" s="17" t="s">
        <v>34</v>
      </c>
    </row>
    <row r="68" spans="1:3" ht="15.75" x14ac:dyDescent="0.25">
      <c r="A68" s="6" t="s">
        <v>20</v>
      </c>
      <c r="B68" s="14">
        <v>499.8</v>
      </c>
      <c r="C68" s="18">
        <f>B68*5366380</f>
        <v>2682116724</v>
      </c>
    </row>
    <row r="69" spans="1:3" ht="15.75" x14ac:dyDescent="0.25">
      <c r="A69" s="30" t="s">
        <v>60</v>
      </c>
      <c r="B69" s="33"/>
      <c r="C69" s="19"/>
    </row>
    <row r="70" spans="1:3" ht="15.75" x14ac:dyDescent="0.25">
      <c r="A70" s="5" t="s">
        <v>4</v>
      </c>
      <c r="B70" s="15" t="s">
        <v>61</v>
      </c>
      <c r="C70" s="17" t="s">
        <v>34</v>
      </c>
    </row>
    <row r="71" spans="1:3" ht="15.75" x14ac:dyDescent="0.25">
      <c r="A71" s="3" t="s">
        <v>62</v>
      </c>
      <c r="B71" s="3">
        <v>3.7000000000000002E-3</v>
      </c>
      <c r="C71" s="20">
        <f>B71*85363963.83</f>
        <v>315846.66617099999</v>
      </c>
    </row>
    <row r="72" spans="1:3" ht="15.75" x14ac:dyDescent="0.25">
      <c r="A72" s="3" t="s">
        <v>63</v>
      </c>
      <c r="B72" s="3">
        <v>2.9999999999999997E-4</v>
      </c>
      <c r="C72" s="20">
        <f>B72*836759185.9</f>
        <v>251027.75576999996</v>
      </c>
    </row>
    <row r="73" spans="1:3" ht="15.75" x14ac:dyDescent="0.25">
      <c r="A73" s="6" t="s">
        <v>77</v>
      </c>
      <c r="B73" s="23" t="s">
        <v>78</v>
      </c>
      <c r="C73" s="16">
        <f>SUM(C71:C72)</f>
        <v>566874.42194099992</v>
      </c>
    </row>
    <row r="74" spans="1:3" x14ac:dyDescent="0.25">
      <c r="A74" s="34" t="s">
        <v>79</v>
      </c>
      <c r="B74" s="34"/>
      <c r="C74" s="34">
        <f>(C44+C68)-(C56+C65+C73)</f>
        <v>1566201430.3780584</v>
      </c>
    </row>
    <row r="75" spans="1:3" x14ac:dyDescent="0.25">
      <c r="A75" s="34"/>
      <c r="B75" s="34"/>
      <c r="C75" s="34"/>
    </row>
    <row r="77" spans="1:3" ht="15.75" x14ac:dyDescent="0.25">
      <c r="A77" s="35" t="s">
        <v>84</v>
      </c>
      <c r="B77" s="35"/>
      <c r="C77" s="35"/>
    </row>
    <row r="78" spans="1:3" ht="15.75" x14ac:dyDescent="0.25">
      <c r="A78" s="31" t="s">
        <v>80</v>
      </c>
      <c r="B78" s="31"/>
      <c r="C78" s="25" t="s">
        <v>76</v>
      </c>
    </row>
    <row r="79" spans="1:3" ht="15.75" x14ac:dyDescent="0.25">
      <c r="A79" s="5" t="s">
        <v>0</v>
      </c>
      <c r="B79" s="15" t="s">
        <v>22</v>
      </c>
      <c r="C79" s="28" t="s">
        <v>34</v>
      </c>
    </row>
    <row r="80" spans="1:3" ht="15.75" x14ac:dyDescent="0.25">
      <c r="A80" s="3" t="s">
        <v>1</v>
      </c>
      <c r="B80" s="27">
        <v>703.8</v>
      </c>
      <c r="C80" s="22"/>
    </row>
    <row r="81" spans="1:3" ht="15.75" x14ac:dyDescent="0.25">
      <c r="A81" s="3" t="s">
        <v>2</v>
      </c>
      <c r="B81" s="27">
        <v>81</v>
      </c>
      <c r="C81" s="21"/>
    </row>
    <row r="82" spans="1:3" ht="15.75" x14ac:dyDescent="0.25">
      <c r="A82" s="6" t="s">
        <v>3</v>
      </c>
      <c r="B82" s="6">
        <f>SUM(B80:B81)</f>
        <v>784.8</v>
      </c>
      <c r="C82" s="18">
        <f>B82*5366380</f>
        <v>4211535023.9999995</v>
      </c>
    </row>
    <row r="83" spans="1:3" ht="15.75" x14ac:dyDescent="0.25">
      <c r="A83" s="30" t="s">
        <v>81</v>
      </c>
      <c r="B83" s="30"/>
      <c r="C83" s="25" t="s">
        <v>76</v>
      </c>
    </row>
    <row r="84" spans="1:3" ht="15.75" x14ac:dyDescent="0.25">
      <c r="A84" s="4" t="s">
        <v>4</v>
      </c>
      <c r="B84" s="24" t="s">
        <v>23</v>
      </c>
      <c r="C84" s="28" t="s">
        <v>35</v>
      </c>
    </row>
    <row r="85" spans="1:3" ht="15.75" x14ac:dyDescent="0.25">
      <c r="A85" s="3" t="s">
        <v>5</v>
      </c>
      <c r="B85" s="27">
        <v>100</v>
      </c>
      <c r="C85" s="22"/>
    </row>
    <row r="86" spans="1:3" ht="15.75" x14ac:dyDescent="0.25">
      <c r="A86" s="3" t="s">
        <v>6</v>
      </c>
      <c r="B86" s="27">
        <v>98.31</v>
      </c>
      <c r="C86" s="22"/>
    </row>
    <row r="87" spans="1:3" ht="15.75" x14ac:dyDescent="0.25">
      <c r="A87" s="3" t="s">
        <v>7</v>
      </c>
      <c r="B87" s="27">
        <v>113.21</v>
      </c>
      <c r="C87" s="22"/>
    </row>
    <row r="88" spans="1:3" ht="15.75" x14ac:dyDescent="0.25">
      <c r="A88" s="3" t="s">
        <v>8</v>
      </c>
      <c r="B88" s="27">
        <v>37.47</v>
      </c>
      <c r="C88" s="22"/>
    </row>
    <row r="89" spans="1:3" ht="15.75" x14ac:dyDescent="0.25">
      <c r="A89" s="3" t="s">
        <v>9</v>
      </c>
      <c r="B89" s="27">
        <v>32.450000000000003</v>
      </c>
      <c r="C89" s="22"/>
    </row>
    <row r="90" spans="1:3" ht="15.75" x14ac:dyDescent="0.25">
      <c r="A90" s="3" t="s">
        <v>10</v>
      </c>
      <c r="B90" s="27">
        <v>53.31</v>
      </c>
      <c r="C90" s="22"/>
    </row>
    <row r="91" spans="1:3" ht="15.75" x14ac:dyDescent="0.25">
      <c r="A91" s="3" t="s">
        <v>11</v>
      </c>
      <c r="B91" s="27">
        <v>196.23</v>
      </c>
      <c r="C91" s="22"/>
    </row>
    <row r="92" spans="1:3" ht="15.75" x14ac:dyDescent="0.25">
      <c r="A92" s="3" t="s">
        <v>12</v>
      </c>
      <c r="B92" s="27">
        <v>0.52</v>
      </c>
      <c r="C92" s="22"/>
    </row>
    <row r="93" spans="1:3" ht="15.75" x14ac:dyDescent="0.25">
      <c r="A93" s="3" t="s">
        <v>13</v>
      </c>
      <c r="B93" s="27">
        <v>1.45</v>
      </c>
      <c r="C93" s="21"/>
    </row>
    <row r="94" spans="1:3" ht="15.75" x14ac:dyDescent="0.25">
      <c r="A94" s="6" t="s">
        <v>14</v>
      </c>
      <c r="B94" s="6">
        <f>SUM(B85:B93)</f>
        <v>632.95000000000005</v>
      </c>
      <c r="C94" s="29">
        <f>B94*5366380</f>
        <v>3396650221.0000005</v>
      </c>
    </row>
    <row r="95" spans="1:3" ht="15.75" x14ac:dyDescent="0.25">
      <c r="A95" s="30" t="s">
        <v>82</v>
      </c>
      <c r="B95" s="30"/>
      <c r="C95" s="25" t="s">
        <v>76</v>
      </c>
    </row>
    <row r="96" spans="1:3" ht="15.75" x14ac:dyDescent="0.25">
      <c r="A96" s="4" t="s">
        <v>4</v>
      </c>
      <c r="B96" s="24" t="s">
        <v>23</v>
      </c>
      <c r="C96" s="28" t="s">
        <v>35</v>
      </c>
    </row>
    <row r="97" spans="1:3" ht="15.75" x14ac:dyDescent="0.25">
      <c r="A97" s="3" t="s">
        <v>15</v>
      </c>
      <c r="B97" s="27">
        <v>18.22</v>
      </c>
      <c r="C97" s="22"/>
    </row>
    <row r="98" spans="1:3" ht="15.75" x14ac:dyDescent="0.25">
      <c r="A98" s="3" t="s">
        <v>16</v>
      </c>
      <c r="B98" s="27">
        <v>22.25</v>
      </c>
      <c r="C98" s="22"/>
    </row>
    <row r="99" spans="1:3" ht="15.75" x14ac:dyDescent="0.25">
      <c r="A99" s="3" t="s">
        <v>17</v>
      </c>
      <c r="B99" s="27">
        <v>171.73</v>
      </c>
      <c r="C99" s="22"/>
    </row>
    <row r="100" spans="1:3" ht="15.75" x14ac:dyDescent="0.25">
      <c r="A100" s="3" t="s">
        <v>28</v>
      </c>
      <c r="B100" s="27">
        <v>118.99</v>
      </c>
      <c r="C100" s="22"/>
    </row>
    <row r="101" spans="1:3" ht="15.75" x14ac:dyDescent="0.25">
      <c r="A101" s="3" t="s">
        <v>18</v>
      </c>
      <c r="B101" s="27">
        <v>11.85</v>
      </c>
      <c r="C101" s="22"/>
    </row>
    <row r="102" spans="1:3" ht="15.75" x14ac:dyDescent="0.25">
      <c r="A102" s="3" t="s">
        <v>19</v>
      </c>
      <c r="B102" s="27">
        <v>16.649999999999999</v>
      </c>
      <c r="C102" s="22"/>
    </row>
    <row r="103" spans="1:3" ht="15.75" x14ac:dyDescent="0.25">
      <c r="A103" s="6" t="s">
        <v>31</v>
      </c>
      <c r="B103" s="14">
        <f>SUM(B97:B102)</f>
        <v>359.69</v>
      </c>
      <c r="C103" s="16">
        <f>B103*5366380</f>
        <v>1930233222.2</v>
      </c>
    </row>
    <row r="104" spans="1:3" ht="15.75" x14ac:dyDescent="0.25">
      <c r="A104" s="31" t="s">
        <v>21</v>
      </c>
      <c r="B104" s="32"/>
      <c r="C104" s="26" t="s">
        <v>76</v>
      </c>
    </row>
    <row r="105" spans="1:3" ht="15.75" x14ac:dyDescent="0.25">
      <c r="A105" s="5" t="s">
        <v>4</v>
      </c>
      <c r="B105" s="15" t="s">
        <v>22</v>
      </c>
      <c r="C105" s="17" t="s">
        <v>34</v>
      </c>
    </row>
    <row r="106" spans="1:3" ht="15.75" x14ac:dyDescent="0.25">
      <c r="A106" s="6" t="s">
        <v>20</v>
      </c>
      <c r="B106" s="14">
        <v>499.8</v>
      </c>
      <c r="C106" s="18">
        <f>B106*5366380</f>
        <v>2682116724</v>
      </c>
    </row>
    <row r="107" spans="1:3" ht="15.75" x14ac:dyDescent="0.25">
      <c r="A107" s="30" t="s">
        <v>60</v>
      </c>
      <c r="B107" s="33"/>
      <c r="C107" s="19"/>
    </row>
    <row r="108" spans="1:3" ht="15.75" x14ac:dyDescent="0.25">
      <c r="A108" s="5" t="s">
        <v>4</v>
      </c>
      <c r="B108" s="15" t="s">
        <v>61</v>
      </c>
      <c r="C108" s="17" t="s">
        <v>34</v>
      </c>
    </row>
    <row r="109" spans="1:3" ht="15.75" x14ac:dyDescent="0.25">
      <c r="A109" s="3" t="s">
        <v>62</v>
      </c>
      <c r="B109" s="3">
        <v>3.7000000000000002E-3</v>
      </c>
      <c r="C109" s="20">
        <f>B109*900012523.3</f>
        <v>3330046.3362099999</v>
      </c>
    </row>
    <row r="110" spans="1:3" ht="15.75" x14ac:dyDescent="0.25">
      <c r="A110" s="3" t="s">
        <v>63</v>
      </c>
      <c r="B110" s="3">
        <v>2.9999999999999997E-4</v>
      </c>
      <c r="C110" s="20">
        <f>B110*45066168.51</f>
        <v>13519.850552999998</v>
      </c>
    </row>
    <row r="111" spans="1:3" ht="15.75" x14ac:dyDescent="0.25">
      <c r="A111" s="6" t="s">
        <v>77</v>
      </c>
      <c r="B111" s="23" t="s">
        <v>78</v>
      </c>
      <c r="C111" s="16">
        <f>SUM(C109:C110)</f>
        <v>3343566.1867629997</v>
      </c>
    </row>
    <row r="112" spans="1:3" x14ac:dyDescent="0.25">
      <c r="A112" s="34" t="s">
        <v>79</v>
      </c>
      <c r="B112" s="34"/>
      <c r="C112" s="34">
        <f>(C82+C106)-(C94+C103+C111)</f>
        <v>1563424738.6132364</v>
      </c>
    </row>
    <row r="113" spans="1:3" x14ac:dyDescent="0.25">
      <c r="A113" s="34"/>
      <c r="B113" s="34"/>
      <c r="C113" s="34"/>
    </row>
  </sheetData>
  <mergeCells count="24">
    <mergeCell ref="A1:B1"/>
    <mergeCell ref="A36:B37"/>
    <mergeCell ref="C36:C37"/>
    <mergeCell ref="A40:B40"/>
    <mergeCell ref="A28:B28"/>
    <mergeCell ref="A2:B2"/>
    <mergeCell ref="A7:B7"/>
    <mergeCell ref="A19:B19"/>
    <mergeCell ref="A31:B31"/>
    <mergeCell ref="C74:C75"/>
    <mergeCell ref="A39:C39"/>
    <mergeCell ref="A77:C77"/>
    <mergeCell ref="A78:B78"/>
    <mergeCell ref="A83:B83"/>
    <mergeCell ref="A45:B45"/>
    <mergeCell ref="A57:B57"/>
    <mergeCell ref="A66:B66"/>
    <mergeCell ref="A69:B69"/>
    <mergeCell ref="A74:B75"/>
    <mergeCell ref="A95:B95"/>
    <mergeCell ref="A104:B104"/>
    <mergeCell ref="A107:B107"/>
    <mergeCell ref="A112:B113"/>
    <mergeCell ref="C112:C1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1"/>
  <sheetViews>
    <sheetView topLeftCell="A31" workbookViewId="0">
      <selection activeCell="G41" sqref="G41:G45"/>
    </sheetView>
  </sheetViews>
  <sheetFormatPr defaultRowHeight="15" x14ac:dyDescent="0.25"/>
  <cols>
    <col min="2" max="2" width="22" customWidth="1"/>
    <col min="3" max="3" width="19.7109375" customWidth="1"/>
    <col min="4" max="4" width="16.5703125" customWidth="1"/>
    <col min="5" max="5" width="17.7109375" customWidth="1"/>
    <col min="6" max="6" width="16.140625" customWidth="1"/>
    <col min="7" max="7" width="23" customWidth="1"/>
    <col min="8" max="8" width="27.85546875" customWidth="1"/>
    <col min="13" max="13" width="12" bestFit="1" customWidth="1"/>
  </cols>
  <sheetData>
    <row r="1" spans="1:51" ht="15.75" x14ac:dyDescent="0.25">
      <c r="A1" s="36" t="s">
        <v>36</v>
      </c>
      <c r="B1" s="38" t="s">
        <v>37</v>
      </c>
      <c r="C1" s="38" t="s">
        <v>38</v>
      </c>
      <c r="D1" s="41" t="s">
        <v>39</v>
      </c>
      <c r="E1" s="40" t="s">
        <v>40</v>
      </c>
      <c r="F1" s="40" t="s">
        <v>42</v>
      </c>
      <c r="G1" s="40" t="s">
        <v>45</v>
      </c>
      <c r="H1" s="40" t="s">
        <v>46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ht="15.75" x14ac:dyDescent="0.25">
      <c r="A2" s="36"/>
      <c r="B2" s="38"/>
      <c r="C2" s="38"/>
      <c r="D2" s="41"/>
      <c r="E2" s="40"/>
      <c r="F2" s="40"/>
      <c r="G2" s="40"/>
      <c r="H2" s="4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ht="18.75" x14ac:dyDescent="0.25">
      <c r="A3" s="10" t="s">
        <v>49</v>
      </c>
      <c r="B3" s="11">
        <v>1059.883</v>
      </c>
      <c r="C3" s="11">
        <v>16.146000000000001</v>
      </c>
      <c r="D3" s="9">
        <v>479.62599999999998</v>
      </c>
      <c r="E3" s="9">
        <v>493.53300000000002</v>
      </c>
      <c r="F3" s="9">
        <v>240320.55</v>
      </c>
      <c r="G3" s="9">
        <v>9.8000000000000007</v>
      </c>
      <c r="H3" s="9">
        <v>90.2</v>
      </c>
      <c r="I3" s="9"/>
      <c r="J3" s="9"/>
      <c r="K3" s="9"/>
      <c r="L3" s="9"/>
      <c r="M3" s="9">
        <f>2.3*52925</f>
        <v>121727.49999999999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ht="18.75" x14ac:dyDescent="0.25">
      <c r="A4" s="10" t="s">
        <v>50</v>
      </c>
      <c r="B4" s="11">
        <v>1.738</v>
      </c>
      <c r="C4" s="11">
        <v>0.13600000000000001</v>
      </c>
      <c r="D4" s="9">
        <v>479.62599999999998</v>
      </c>
      <c r="E4" s="9">
        <v>493.53300000000002</v>
      </c>
      <c r="F4" s="9">
        <v>240320.55</v>
      </c>
      <c r="G4" s="9">
        <v>9.8000000000000007</v>
      </c>
      <c r="H4" s="9">
        <v>90.2</v>
      </c>
      <c r="I4" s="9"/>
      <c r="J4" s="9"/>
      <c r="K4" s="9"/>
      <c r="L4" s="9"/>
      <c r="M4" s="9">
        <f>2.1*(137657+92945)</f>
        <v>484264.2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ht="18.75" x14ac:dyDescent="0.25">
      <c r="A5" s="10" t="s">
        <v>51</v>
      </c>
      <c r="B5" s="11">
        <v>0.129</v>
      </c>
      <c r="C5" s="11">
        <v>2.82E-3</v>
      </c>
      <c r="D5" s="9">
        <v>479.62599999999998</v>
      </c>
      <c r="E5" s="9">
        <v>493.53300000000002</v>
      </c>
      <c r="F5" s="9">
        <v>240320.55</v>
      </c>
      <c r="G5" s="9">
        <v>9.8000000000000007</v>
      </c>
      <c r="H5" s="9">
        <v>90.2</v>
      </c>
      <c r="I5" s="9"/>
      <c r="J5" s="9"/>
      <c r="K5" s="9"/>
      <c r="L5" s="9"/>
      <c r="M5" s="9">
        <f>1.9*186995</f>
        <v>355290.5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ht="18.75" x14ac:dyDescent="0.25">
      <c r="A6" s="10" t="s">
        <v>52</v>
      </c>
      <c r="B6" s="11">
        <v>0.16500000000000001</v>
      </c>
      <c r="C6" s="11">
        <v>4.2399999999999998E-3</v>
      </c>
      <c r="D6" s="9">
        <v>479.62599999999998</v>
      </c>
      <c r="E6" s="9">
        <v>493.53300000000002</v>
      </c>
      <c r="F6" s="9">
        <v>240320.55</v>
      </c>
      <c r="G6" s="9">
        <v>9.8000000000000007</v>
      </c>
      <c r="H6" s="9">
        <v>90.2</v>
      </c>
      <c r="I6" s="9"/>
      <c r="J6" s="9"/>
      <c r="K6" s="9"/>
      <c r="L6" s="9"/>
      <c r="M6" s="9">
        <f>SUM(M3:M5)</f>
        <v>961282.2</v>
      </c>
      <c r="N6" s="9" t="s">
        <v>41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ht="15.75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>
        <f>M6*500</f>
        <v>480641100</v>
      </c>
      <c r="N7" s="9" t="s">
        <v>43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ht="15.75" x14ac:dyDescent="0.25">
      <c r="A8" s="9"/>
      <c r="B8" s="9"/>
      <c r="C8" s="9"/>
      <c r="D8" s="9"/>
      <c r="E8" s="9"/>
      <c r="F8" s="9" t="s">
        <v>47</v>
      </c>
      <c r="G8" s="9"/>
      <c r="H8" s="9"/>
      <c r="I8" s="9"/>
      <c r="J8" s="9"/>
      <c r="K8" s="9"/>
      <c r="L8" s="9"/>
      <c r="M8" s="9">
        <f>M7/2000</f>
        <v>240320.55</v>
      </c>
      <c r="N8" s="9" t="s">
        <v>44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ht="15.75" x14ac:dyDescent="0.25">
      <c r="A9" s="9"/>
      <c r="B9" s="9"/>
      <c r="C9" s="9"/>
      <c r="D9" s="9"/>
      <c r="E9" s="9" t="s">
        <v>48</v>
      </c>
      <c r="F9" s="9">
        <v>4.7130000000000001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ht="15.75" x14ac:dyDescent="0.25">
      <c r="A10" s="9"/>
      <c r="B10" s="9"/>
      <c r="C10" s="9"/>
      <c r="D10" s="9"/>
      <c r="E10" s="9">
        <v>2027</v>
      </c>
      <c r="F10" s="9">
        <v>12.849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ht="15.75" x14ac:dyDescent="0.25">
      <c r="A11" s="9"/>
      <c r="B11" s="9"/>
      <c r="C11" s="9"/>
      <c r="D11" s="9"/>
      <c r="E11" s="9"/>
      <c r="F11" s="9"/>
      <c r="G11" s="9" t="s">
        <v>64</v>
      </c>
      <c r="H11" s="9" t="s">
        <v>65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spans="1:51" ht="15.75" x14ac:dyDescent="0.25">
      <c r="A12" s="37" t="s">
        <v>53</v>
      </c>
      <c r="B12" s="37"/>
      <c r="C12" s="37"/>
      <c r="D12" s="9"/>
      <c r="E12" s="9" t="s">
        <v>54</v>
      </c>
      <c r="F12" s="9">
        <f>F3*F9</f>
        <v>1132630.7521500001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ht="15.75" customHeight="1" x14ac:dyDescent="0.25">
      <c r="A13" s="36" t="s">
        <v>36</v>
      </c>
      <c r="B13" s="38" t="s">
        <v>57</v>
      </c>
      <c r="C13" s="38" t="s">
        <v>56</v>
      </c>
      <c r="D13" s="9"/>
      <c r="E13" s="9" t="s">
        <v>55</v>
      </c>
      <c r="F13" s="9">
        <f>F10*F4</f>
        <v>3087878.7469500001</v>
      </c>
      <c r="G13" s="9">
        <f>$F$13*0.902*(493.533*0.621)</f>
        <v>853639638.25509548</v>
      </c>
      <c r="H13" s="9">
        <f>$F$13*0.098*(479.626*0.621)</f>
        <v>90132337.020635471</v>
      </c>
      <c r="I13" s="9" t="s">
        <v>66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ht="15.75" x14ac:dyDescent="0.25">
      <c r="A14" s="36"/>
      <c r="B14" s="38"/>
      <c r="C14" s="38"/>
      <c r="D14" s="9"/>
      <c r="E14" s="9"/>
      <c r="F14" s="9"/>
      <c r="G14" s="9">
        <f>$F$13*0.0902*(493.533*0.621)</f>
        <v>85363963.825509548</v>
      </c>
      <c r="H14" s="9">
        <f>$F$13*0.9098*(479.626*0.621)</f>
        <v>836759185.93238926</v>
      </c>
      <c r="I14" s="9" t="s">
        <v>67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ht="18.75" x14ac:dyDescent="0.25">
      <c r="A15" s="10" t="s">
        <v>49</v>
      </c>
      <c r="B15" s="11">
        <f>ROUND($B$3*$E$3/1000,2)</f>
        <v>523.09</v>
      </c>
      <c r="C15" s="11">
        <f>ROUND($C$3*($D$3*$F$12*$G$3/100)/1000,2)</f>
        <v>859571.66</v>
      </c>
      <c r="D15" s="9"/>
      <c r="E15" s="9"/>
      <c r="F15" s="9"/>
      <c r="G15" s="9">
        <f>$F$13*0.951*(493.533*0.621)</f>
        <v>900012523.26008403</v>
      </c>
      <c r="H15" s="9">
        <f>$F$13*0.049*(479.626*0.621)</f>
        <v>45066168.510317735</v>
      </c>
      <c r="I15" s="9" t="s">
        <v>68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 ht="18.75" x14ac:dyDescent="0.25">
      <c r="A16" s="10" t="s">
        <v>50</v>
      </c>
      <c r="B16" s="11">
        <f>ROUND($B$4*$E$4/1000,2)</f>
        <v>0.86</v>
      </c>
      <c r="C16" s="11">
        <f>ROUND($C$4*($D$3*$F$12*$G$3/100)/1000,2)</f>
        <v>7240.29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ht="31.5" x14ac:dyDescent="0.25">
      <c r="A17" s="10" t="s">
        <v>51</v>
      </c>
      <c r="B17" s="11">
        <f>ROUND($B$5*$E$5/1000,2)</f>
        <v>0.06</v>
      </c>
      <c r="C17" s="11">
        <f>ROUND($C$5*($D$3*$F$12*$G$3/100)/1000,2)</f>
        <v>150.13</v>
      </c>
      <c r="D17" s="9"/>
      <c r="E17" s="36" t="s">
        <v>71</v>
      </c>
      <c r="F17" s="36"/>
      <c r="G17" s="12" t="s">
        <v>69</v>
      </c>
      <c r="H17" s="12" t="s">
        <v>70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ht="18.75" x14ac:dyDescent="0.25">
      <c r="A18" s="10" t="s">
        <v>52</v>
      </c>
      <c r="B18" s="11">
        <f>ROUND($B$6*$E$6/1000,2)</f>
        <v>0.08</v>
      </c>
      <c r="C18" s="11">
        <f>ROUND($C$6*($D$3*$F$12*$G$3/100)/1000,2)</f>
        <v>225.73</v>
      </c>
      <c r="D18" s="9"/>
      <c r="E18" s="39" t="s">
        <v>72</v>
      </c>
      <c r="F18" s="39"/>
      <c r="G18" s="11">
        <f>$F$13*0.902*(493.533*0.621)</f>
        <v>853639638.25509548</v>
      </c>
      <c r="H18" s="11">
        <f>$F$13*0.098*(479.626*0.621)</f>
        <v>90132337.020635471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ht="15.75" customHeight="1" x14ac:dyDescent="0.25">
      <c r="A19" s="37" t="s">
        <v>58</v>
      </c>
      <c r="B19" s="37"/>
      <c r="C19" s="37"/>
      <c r="D19" s="9"/>
      <c r="E19" s="39" t="s">
        <v>73</v>
      </c>
      <c r="F19" s="39"/>
      <c r="G19" s="11">
        <f>$F$13*0.0902*(493.533*0.621)</f>
        <v>85363963.825509548</v>
      </c>
      <c r="H19" s="11">
        <f>$F$13*0.9098*(479.626*0.621)</f>
        <v>836759185.93238926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ht="15.75" customHeight="1" x14ac:dyDescent="0.25">
      <c r="A20" s="36" t="s">
        <v>36</v>
      </c>
      <c r="B20" s="38" t="s">
        <v>57</v>
      </c>
      <c r="C20" s="38" t="s">
        <v>56</v>
      </c>
      <c r="D20" s="9"/>
      <c r="E20" s="39" t="s">
        <v>74</v>
      </c>
      <c r="F20" s="39"/>
      <c r="G20" s="11">
        <f>$F$13*0.951*(493.533*0.621)</f>
        <v>900012523.26008403</v>
      </c>
      <c r="H20" s="11">
        <f>$F$13*0.049*(479.626*0.621)</f>
        <v>45066168.510317735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ht="15.75" x14ac:dyDescent="0.25">
      <c r="A21" s="36"/>
      <c r="B21" s="38"/>
      <c r="C21" s="3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spans="1:51" ht="18.75" x14ac:dyDescent="0.25">
      <c r="A22" s="10" t="s">
        <v>49</v>
      </c>
      <c r="B22" s="11">
        <f>ROUND($B$3*$E$3/1000,2)</f>
        <v>523.09</v>
      </c>
      <c r="C22" s="11">
        <f>ROUND($C$3*($D$3*$F$12*90.98/100)/1000,2)</f>
        <v>7979982.6500000004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spans="1:51" ht="18.75" x14ac:dyDescent="0.25">
      <c r="A23" s="10" t="s">
        <v>50</v>
      </c>
      <c r="B23" s="11">
        <f>ROUND($B$4*$E$4/1000,2)</f>
        <v>0.86</v>
      </c>
      <c r="C23" s="11">
        <f>ROUND($C$4*($D$3*$F$12*90.98/100)/1000,2)</f>
        <v>67216.5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</row>
    <row r="24" spans="1:51" ht="18.75" x14ac:dyDescent="0.25">
      <c r="A24" s="10" t="s">
        <v>51</v>
      </c>
      <c r="B24" s="11">
        <f>ROUND($B$5*$E$5/1000,2)</f>
        <v>0.06</v>
      </c>
      <c r="C24" s="11">
        <f>ROUND($C$5*($D$3*$F$12*90.98/100)/1000,2)</f>
        <v>1393.75</v>
      </c>
      <c r="D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spans="1:51" ht="18.75" x14ac:dyDescent="0.25">
      <c r="A25" s="10" t="s">
        <v>52</v>
      </c>
      <c r="B25" s="11">
        <f>ROUND($B$6*$E$6/1000,2)</f>
        <v>0.08</v>
      </c>
      <c r="C25" s="11">
        <f>ROUND($C$6*($D$3*$F$12*90.98/100)/1000,2)</f>
        <v>2095.5700000000002</v>
      </c>
      <c r="D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spans="1:51" ht="15.75" customHeight="1" x14ac:dyDescent="0.25">
      <c r="A26" s="37" t="s">
        <v>59</v>
      </c>
      <c r="B26" s="37"/>
      <c r="C26" s="37"/>
      <c r="D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</row>
    <row r="27" spans="1:51" ht="15.75" customHeight="1" x14ac:dyDescent="0.25">
      <c r="A27" s="36" t="s">
        <v>36</v>
      </c>
      <c r="B27" s="38" t="s">
        <v>57</v>
      </c>
      <c r="C27" s="38" t="s">
        <v>56</v>
      </c>
      <c r="D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</row>
    <row r="28" spans="1:51" ht="15.75" x14ac:dyDescent="0.25">
      <c r="A28" s="36"/>
      <c r="B28" s="38"/>
      <c r="C28" s="38"/>
      <c r="D28" s="9"/>
      <c r="E28" s="36" t="s">
        <v>71</v>
      </c>
      <c r="F28" s="36"/>
      <c r="G28" s="8" t="s">
        <v>85</v>
      </c>
      <c r="H28" s="8" t="s">
        <v>86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 ht="18.75" x14ac:dyDescent="0.25">
      <c r="A29" s="10" t="s">
        <v>49</v>
      </c>
      <c r="B29" s="11">
        <f>ROUND($B$3*$E$3/1000,2)</f>
        <v>523.09</v>
      </c>
      <c r="C29" s="11">
        <f>ROUND($C$3*($D$3*$F$12*4.9/100)/1000,2)</f>
        <v>429785.83</v>
      </c>
      <c r="D29" s="9"/>
      <c r="E29" s="39" t="s">
        <v>72</v>
      </c>
      <c r="F29" s="39"/>
      <c r="G29" s="11">
        <v>107126</v>
      </c>
      <c r="H29" s="11">
        <v>31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</row>
    <row r="30" spans="1:51" ht="18.75" x14ac:dyDescent="0.25">
      <c r="A30" s="10" t="s">
        <v>50</v>
      </c>
      <c r="B30" s="11">
        <f>ROUND($B$4*$E$4/1000,2)</f>
        <v>0.86</v>
      </c>
      <c r="C30" s="11">
        <f>ROUND($C$4*($D$3*$F$12*4.9/100)/1000,2)</f>
        <v>3620.15</v>
      </c>
      <c r="D30" s="9"/>
      <c r="E30" s="39" t="s">
        <v>73</v>
      </c>
      <c r="F30" s="39"/>
      <c r="G30" s="11">
        <v>10713</v>
      </c>
      <c r="H30" s="11">
        <v>281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</row>
    <row r="31" spans="1:51" ht="18.75" x14ac:dyDescent="0.25">
      <c r="A31" s="10" t="s">
        <v>51</v>
      </c>
      <c r="B31" s="11">
        <f>ROUND($B$5*$E$5/1000,2)</f>
        <v>0.06</v>
      </c>
      <c r="C31" s="11">
        <f>ROUND($C$5*($D$3*$F$12*4.9/100)/1000,2)</f>
        <v>75.06</v>
      </c>
      <c r="D31" s="9"/>
      <c r="E31" s="42" t="s">
        <v>74</v>
      </c>
      <c r="F31" s="39"/>
      <c r="G31" s="11">
        <v>112946</v>
      </c>
      <c r="H31" s="11">
        <v>16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</row>
    <row r="32" spans="1:51" ht="18.75" x14ac:dyDescent="0.25">
      <c r="A32" s="10" t="s">
        <v>52</v>
      </c>
      <c r="B32" s="11">
        <f>ROUND($B$6*$E$6/1000,2)</f>
        <v>0.08</v>
      </c>
      <c r="C32" s="11">
        <f>ROUND($C$6*($D$3*$F$12*4.9/100)/1000,2)</f>
        <v>112.86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spans="1:51" ht="15.75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</row>
    <row r="34" spans="1:51" ht="15.75" customHeight="1" x14ac:dyDescent="0.25">
      <c r="A34" s="37" t="s">
        <v>89</v>
      </c>
      <c r="B34" s="37"/>
      <c r="C34" s="37"/>
      <c r="D34" s="37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5" spans="1:51" ht="15.75" x14ac:dyDescent="0.25">
      <c r="A35" s="36" t="s">
        <v>36</v>
      </c>
      <c r="B35" s="38" t="s">
        <v>87</v>
      </c>
      <c r="C35" s="38" t="s">
        <v>88</v>
      </c>
      <c r="D35" s="38" t="s">
        <v>92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</row>
    <row r="36" spans="1:51" ht="15.75" x14ac:dyDescent="0.25">
      <c r="A36" s="36"/>
      <c r="B36" s="38"/>
      <c r="C36" s="38"/>
      <c r="D36" s="3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</row>
    <row r="37" spans="1:51" ht="18.75" x14ac:dyDescent="0.25">
      <c r="A37" s="13" t="s">
        <v>49</v>
      </c>
      <c r="B37" s="11">
        <f>B15*$G$29</f>
        <v>56036539.340000004</v>
      </c>
      <c r="C37" s="11">
        <f>C15*$H$29</f>
        <v>26646721.460000001</v>
      </c>
      <c r="D37" s="11">
        <f>SUM(B37:C37)</f>
        <v>82683260.800000012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spans="1:51" ht="18.75" x14ac:dyDescent="0.25">
      <c r="A38" s="13" t="s">
        <v>50</v>
      </c>
      <c r="B38" s="11">
        <f>B16*$G$29</f>
        <v>92128.36</v>
      </c>
      <c r="C38" s="11">
        <f>C16*$H$29</f>
        <v>224448.99</v>
      </c>
      <c r="D38" s="11">
        <f t="shared" ref="D38:D54" si="0">SUM(B38:C38)</f>
        <v>316577.34999999998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</row>
    <row r="39" spans="1:51" ht="18.75" x14ac:dyDescent="0.25">
      <c r="A39" s="13" t="s">
        <v>51</v>
      </c>
      <c r="B39" s="11">
        <f>B17*$G$29</f>
        <v>6427.5599999999995</v>
      </c>
      <c r="C39" s="11">
        <f>C17*$H$29</f>
        <v>4654.03</v>
      </c>
      <c r="D39" s="11">
        <f t="shared" si="0"/>
        <v>11081.59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</row>
    <row r="40" spans="1:51" ht="18.75" x14ac:dyDescent="0.25">
      <c r="A40" s="13" t="s">
        <v>52</v>
      </c>
      <c r="B40" s="11">
        <f>B18*$G$29</f>
        <v>8570.08</v>
      </c>
      <c r="C40" s="11">
        <f>C18*$H$29</f>
        <v>6997.63</v>
      </c>
      <c r="D40" s="11">
        <f t="shared" si="0"/>
        <v>15567.71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</row>
    <row r="41" spans="1:51" ht="15.75" customHeight="1" x14ac:dyDescent="0.25">
      <c r="A41" s="37" t="s">
        <v>90</v>
      </c>
      <c r="B41" s="37"/>
      <c r="C41" s="37"/>
      <c r="D41" s="37"/>
      <c r="E41" s="37"/>
      <c r="F41" s="9"/>
      <c r="G41" s="9">
        <f>E51/D37</f>
        <v>-0.20228718870264981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 ht="15.75" customHeight="1" x14ac:dyDescent="0.25">
      <c r="A42" s="36" t="s">
        <v>36</v>
      </c>
      <c r="B42" s="38" t="s">
        <v>87</v>
      </c>
      <c r="C42" s="38" t="s">
        <v>88</v>
      </c>
      <c r="D42" s="38" t="s">
        <v>92</v>
      </c>
      <c r="E42" s="38" t="s">
        <v>93</v>
      </c>
      <c r="F42" s="9"/>
      <c r="G42" s="9">
        <f t="shared" ref="G42:G45" si="1">E52/D38</f>
        <v>-0.51021145385164157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</row>
    <row r="43" spans="1:51" ht="15.75" x14ac:dyDescent="0.25">
      <c r="A43" s="36"/>
      <c r="B43" s="38"/>
      <c r="C43" s="38"/>
      <c r="D43" s="38"/>
      <c r="E43" s="38"/>
      <c r="F43" s="9"/>
      <c r="G43" s="9">
        <f t="shared" si="1"/>
        <v>-0.28009247770401186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</row>
    <row r="44" spans="1:51" ht="18.75" x14ac:dyDescent="0.25">
      <c r="A44" s="13" t="s">
        <v>49</v>
      </c>
      <c r="B44" s="11">
        <f>B22*$G$30</f>
        <v>5603863.1699999999</v>
      </c>
      <c r="C44" s="11">
        <f>C22*$H$30</f>
        <v>2242375124.6500001</v>
      </c>
      <c r="D44" s="11">
        <f t="shared" si="0"/>
        <v>2247978987.8200002</v>
      </c>
      <c r="E44" s="45">
        <f>D44-D37</f>
        <v>2165295727.02</v>
      </c>
      <c r="F44" s="9"/>
      <c r="G44" s="9">
        <f t="shared" si="1"/>
        <v>-0.30359442718293178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</row>
    <row r="45" spans="1:51" ht="18.75" x14ac:dyDescent="0.25">
      <c r="A45" s="13" t="s">
        <v>50</v>
      </c>
      <c r="B45" s="11">
        <f>B23*$G$30</f>
        <v>9213.18</v>
      </c>
      <c r="C45" s="11">
        <f>C23*$H$30</f>
        <v>18887836.5</v>
      </c>
      <c r="D45" s="11">
        <f t="shared" si="0"/>
        <v>18897049.68</v>
      </c>
      <c r="E45" s="45">
        <f t="shared" ref="E45:E47" si="2">D45-D38</f>
        <v>18580472.329999998</v>
      </c>
      <c r="F45" s="9"/>
      <c r="G45" s="9" t="e">
        <f t="shared" si="1"/>
        <v>#DIV/0!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</row>
    <row r="46" spans="1:51" ht="18.75" x14ac:dyDescent="0.25">
      <c r="A46" s="13" t="s">
        <v>51</v>
      </c>
      <c r="B46" s="11">
        <f>B24*$G$30</f>
        <v>642.78</v>
      </c>
      <c r="C46" s="11">
        <f>C24*$H$30</f>
        <v>391643.75</v>
      </c>
      <c r="D46" s="11">
        <f t="shared" si="0"/>
        <v>392286.53</v>
      </c>
      <c r="E46" s="45">
        <f t="shared" si="2"/>
        <v>381204.94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</row>
    <row r="47" spans="1:51" ht="18.75" x14ac:dyDescent="0.25">
      <c r="A47" s="13" t="s">
        <v>52</v>
      </c>
      <c r="B47" s="11">
        <f>B25*$G$30</f>
        <v>857.04</v>
      </c>
      <c r="C47" s="11">
        <f>C25*$H$30</f>
        <v>588855.17000000004</v>
      </c>
      <c r="D47" s="11">
        <f t="shared" si="0"/>
        <v>589712.21000000008</v>
      </c>
      <c r="E47" s="45">
        <f t="shared" si="2"/>
        <v>574144.50000000012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</row>
    <row r="48" spans="1:51" ht="15.75" customHeight="1" x14ac:dyDescent="0.25">
      <c r="A48" s="37" t="s">
        <v>91</v>
      </c>
      <c r="B48" s="37"/>
      <c r="C48" s="37"/>
      <c r="D48" s="37"/>
      <c r="E48" s="37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</row>
    <row r="49" spans="1:51" ht="15.75" customHeight="1" x14ac:dyDescent="0.25">
      <c r="A49" s="43" t="s">
        <v>36</v>
      </c>
      <c r="B49" s="44" t="s">
        <v>87</v>
      </c>
      <c r="C49" s="44" t="s">
        <v>88</v>
      </c>
      <c r="D49" s="44" t="s">
        <v>92</v>
      </c>
      <c r="E49" s="38" t="s">
        <v>93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</row>
    <row r="50" spans="1:51" ht="15.75" x14ac:dyDescent="0.25">
      <c r="A50" s="36"/>
      <c r="B50" s="38"/>
      <c r="C50" s="38"/>
      <c r="D50" s="38"/>
      <c r="E50" s="38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</row>
    <row r="51" spans="1:51" ht="18.75" x14ac:dyDescent="0.25">
      <c r="A51" s="13" t="s">
        <v>49</v>
      </c>
      <c r="B51" s="11">
        <f>B29*$G$31</f>
        <v>59080923.140000001</v>
      </c>
      <c r="C51" s="11">
        <f>C29*$H$31</f>
        <v>6876573.2800000003</v>
      </c>
      <c r="D51" s="11">
        <f t="shared" si="0"/>
        <v>65957496.420000002</v>
      </c>
      <c r="E51" s="45">
        <f>D51-D37</f>
        <v>-16725764.38000001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</row>
    <row r="52" spans="1:51" ht="18.75" x14ac:dyDescent="0.25">
      <c r="A52" s="13" t="s">
        <v>50</v>
      </c>
      <c r="B52" s="11">
        <f>B30*$G$31</f>
        <v>97133.56</v>
      </c>
      <c r="C52" s="11">
        <f>C30*$H$31</f>
        <v>57922.400000000001</v>
      </c>
      <c r="D52" s="11">
        <f t="shared" si="0"/>
        <v>155055.96</v>
      </c>
      <c r="E52" s="45">
        <f t="shared" ref="E52:E54" si="3">D52-D38</f>
        <v>-161521.38999999998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</row>
    <row r="53" spans="1:51" ht="18.75" x14ac:dyDescent="0.25">
      <c r="A53" s="13" t="s">
        <v>51</v>
      </c>
      <c r="B53" s="11">
        <f>B31*$G$31</f>
        <v>6776.7599999999993</v>
      </c>
      <c r="C53" s="11">
        <f>C31*$H$31</f>
        <v>1200.96</v>
      </c>
      <c r="D53" s="11">
        <f t="shared" si="0"/>
        <v>7977.7199999999993</v>
      </c>
      <c r="E53" s="45">
        <f t="shared" si="3"/>
        <v>-3103.8700000000008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</row>
    <row r="54" spans="1:51" ht="18.75" x14ac:dyDescent="0.25">
      <c r="A54" s="13" t="s">
        <v>52</v>
      </c>
      <c r="B54" s="11">
        <f>B32*$G$31</f>
        <v>9035.68</v>
      </c>
      <c r="C54" s="11">
        <f>C32*$H$31</f>
        <v>1805.76</v>
      </c>
      <c r="D54" s="11">
        <f t="shared" si="0"/>
        <v>10841.44</v>
      </c>
      <c r="E54" s="45">
        <f t="shared" si="3"/>
        <v>-4726.2699999999986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 ht="15.75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</row>
    <row r="56" spans="1:51" ht="15.75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</row>
    <row r="57" spans="1:51" ht="15.75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</row>
    <row r="58" spans="1:51" ht="15.75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spans="1:51" ht="15.75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spans="1:51" ht="15.75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spans="1:51" ht="15.75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spans="1:51" ht="15.75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spans="1:51" ht="15.75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spans="1:51" ht="15.75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spans="1:51" ht="15.75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spans="1:51" ht="15.75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spans="1:51" ht="15.75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 ht="15.75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</row>
    <row r="69" spans="1:51" ht="15.75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</row>
    <row r="70" spans="1:51" ht="15.75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spans="1:51" ht="15.75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</row>
    <row r="72" spans="1:51" ht="15.75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</row>
    <row r="73" spans="1:51" ht="15.75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</row>
    <row r="74" spans="1:51" ht="15.75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</row>
    <row r="75" spans="1:51" ht="15.75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</row>
    <row r="76" spans="1:51" ht="15.75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</row>
    <row r="77" spans="1:51" ht="15.75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</row>
    <row r="78" spans="1:51" ht="15.75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spans="1:51" ht="15.75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</row>
    <row r="80" spans="1:51" ht="15.75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 ht="15.75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</row>
    <row r="82" spans="1:51" ht="15.75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</row>
    <row r="83" spans="1:51" ht="15.75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</row>
    <row r="84" spans="1:51" ht="15.75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spans="1:51" ht="15.75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spans="1:51" ht="15.75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spans="1:51" ht="15.75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spans="1:51" ht="15.75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spans="1:51" ht="15.75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</row>
    <row r="90" spans="1:51" ht="15.75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spans="1:51" ht="15.75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</row>
    <row r="92" spans="1:51" ht="15.75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</row>
    <row r="93" spans="1:51" ht="15.75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 ht="15.75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</row>
    <row r="95" spans="1:51" ht="15.75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</row>
    <row r="96" spans="1:51" ht="15.75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</row>
    <row r="97" spans="1:51" ht="15.75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</row>
    <row r="98" spans="1:51" ht="15.75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</row>
    <row r="99" spans="1:51" ht="15.75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spans="1:51" ht="15.75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spans="1:51" ht="15.75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spans="1:51" ht="15.75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</row>
    <row r="103" spans="1:51" ht="15.75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</row>
    <row r="104" spans="1:51" ht="15.75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</row>
    <row r="105" spans="1:51" ht="15.75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</row>
    <row r="106" spans="1:51" ht="15.75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 ht="15.75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spans="1:51" ht="15.75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</row>
    <row r="109" spans="1:51" ht="15.75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</row>
    <row r="110" spans="1:51" ht="15.75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</row>
    <row r="111" spans="1:51" ht="15.75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</row>
    <row r="112" spans="1:51" ht="15.75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</row>
    <row r="113" spans="1:51" ht="15.75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</row>
    <row r="114" spans="1:51" ht="15.75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</row>
    <row r="115" spans="1:51" ht="15.75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</row>
    <row r="116" spans="1:51" ht="15.75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</row>
    <row r="117" spans="1:51" ht="15.75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</row>
    <row r="118" spans="1:51" ht="15.75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</row>
    <row r="119" spans="1:51" ht="15.75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 ht="15.75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</row>
    <row r="121" spans="1:51" ht="15.75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</row>
    <row r="122" spans="1:51" ht="15.75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</row>
    <row r="123" spans="1:51" ht="15.75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</row>
    <row r="124" spans="1:51" ht="15.75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</row>
    <row r="125" spans="1:51" ht="15.75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</row>
    <row r="126" spans="1:51" ht="15.75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</row>
    <row r="127" spans="1:51" ht="15.75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</row>
    <row r="128" spans="1:51" ht="15.75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</row>
    <row r="129" spans="1:51" ht="15.75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</row>
    <row r="130" spans="1:51" ht="15.75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spans="1:51" ht="15.75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spans="1:51" ht="15.75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 ht="15.75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</row>
    <row r="134" spans="1:51" ht="15.75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</row>
    <row r="135" spans="1:51" ht="15.75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</row>
    <row r="136" spans="1:51" ht="15.75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</row>
    <row r="137" spans="1:51" ht="15.75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spans="1:51" ht="15.75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</row>
    <row r="139" spans="1:51" ht="15.75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</row>
    <row r="140" spans="1:51" ht="15.75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</row>
    <row r="141" spans="1:51" ht="15.75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</row>
    <row r="142" spans="1:51" ht="15.75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</row>
    <row r="143" spans="1:51" ht="15.75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</row>
    <row r="144" spans="1:51" ht="15.75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</row>
    <row r="145" spans="1:51" ht="15.75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 ht="15.75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</row>
    <row r="147" spans="1:51" ht="15.75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</row>
    <row r="148" spans="1:51" ht="15.75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</row>
    <row r="149" spans="1:51" ht="15.75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</row>
    <row r="150" spans="1:51" ht="15.75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1:51" ht="15.75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</row>
    <row r="152" spans="1:51" ht="15.75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</row>
    <row r="153" spans="1:51" ht="15.75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</row>
    <row r="154" spans="1:51" ht="15.75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</row>
    <row r="155" spans="1:51" ht="15.75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</row>
    <row r="156" spans="1:51" ht="15.75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</row>
    <row r="157" spans="1:51" ht="15.75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</row>
    <row r="158" spans="1:51" ht="15.75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 ht="15.75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</row>
    <row r="160" spans="1:51" ht="15.75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spans="1:51" ht="15.75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</row>
    <row r="162" spans="1:51" ht="15.75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</row>
    <row r="163" spans="1:51" ht="15.75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</row>
    <row r="164" spans="1:51" ht="15.75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</row>
    <row r="165" spans="1:51" ht="15.75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</row>
    <row r="166" spans="1:51" ht="15.75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</row>
    <row r="167" spans="1:51" ht="15.75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</row>
    <row r="168" spans="1:51" ht="15.75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</row>
    <row r="169" spans="1:51" ht="15.75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</row>
    <row r="170" spans="1:51" ht="15.75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</row>
    <row r="171" spans="1:51" ht="15.75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 ht="15.75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spans="1:51" ht="15.75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</row>
    <row r="174" spans="1:51" ht="15.75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</row>
    <row r="175" spans="1:51" ht="15.75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</row>
    <row r="176" spans="1:51" ht="15.75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</row>
    <row r="177" spans="1:51" ht="15.75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</row>
    <row r="178" spans="1:51" ht="15.75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</row>
    <row r="179" spans="1:51" ht="15.75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</row>
    <row r="180" spans="1:51" ht="15.75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</row>
    <row r="181" spans="1:51" ht="15.75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</row>
    <row r="182" spans="1:51" ht="15.75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</row>
    <row r="183" spans="1:51" ht="15.75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</row>
    <row r="184" spans="1:51" ht="15.75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 ht="15.75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</row>
    <row r="186" spans="1:51" ht="15.75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</row>
    <row r="187" spans="1:51" ht="15.75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</row>
    <row r="188" spans="1:51" ht="15.75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</row>
    <row r="189" spans="1:51" ht="15.75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</row>
    <row r="190" spans="1:51" ht="15.75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</row>
    <row r="191" spans="1:51" ht="15.75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</row>
    <row r="192" spans="1:51" ht="15.75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spans="1:51" ht="15.75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</row>
    <row r="194" spans="1:51" ht="15.75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</row>
    <row r="195" spans="1:51" ht="15.75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</row>
    <row r="196" spans="1:51" ht="15.75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</row>
    <row r="197" spans="1:51" ht="15.75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 ht="15.75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</row>
    <row r="199" spans="1:51" ht="15.75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</row>
    <row r="200" spans="1:51" ht="15.75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</row>
    <row r="201" spans="1:51" ht="15.75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</row>
  </sheetData>
  <mergeCells count="45">
    <mergeCell ref="E42:E43"/>
    <mergeCell ref="A48:E48"/>
    <mergeCell ref="E49:E50"/>
    <mergeCell ref="A42:A43"/>
    <mergeCell ref="B42:B43"/>
    <mergeCell ref="C42:C43"/>
    <mergeCell ref="A49:A50"/>
    <mergeCell ref="B49:B50"/>
    <mergeCell ref="C49:C50"/>
    <mergeCell ref="D42:D43"/>
    <mergeCell ref="D49:D50"/>
    <mergeCell ref="A35:A36"/>
    <mergeCell ref="B35:B36"/>
    <mergeCell ref="C35:C36"/>
    <mergeCell ref="A34:D34"/>
    <mergeCell ref="A41:E41"/>
    <mergeCell ref="G1:G2"/>
    <mergeCell ref="H1:H2"/>
    <mergeCell ref="A13:A14"/>
    <mergeCell ref="B13:B14"/>
    <mergeCell ref="C13:C14"/>
    <mergeCell ref="A1:A2"/>
    <mergeCell ref="B1:B2"/>
    <mergeCell ref="C1:C2"/>
    <mergeCell ref="D1:D2"/>
    <mergeCell ref="E1:E2"/>
    <mergeCell ref="F1:F2"/>
    <mergeCell ref="A12:C12"/>
    <mergeCell ref="A19:C19"/>
    <mergeCell ref="A20:A21"/>
    <mergeCell ref="B20:B21"/>
    <mergeCell ref="C20:C21"/>
    <mergeCell ref="E17:F17"/>
    <mergeCell ref="A26:C26"/>
    <mergeCell ref="A27:A28"/>
    <mergeCell ref="B27:B28"/>
    <mergeCell ref="C27:C28"/>
    <mergeCell ref="E18:F18"/>
    <mergeCell ref="E19:F19"/>
    <mergeCell ref="E20:F20"/>
    <mergeCell ref="E28:F28"/>
    <mergeCell ref="E29:F29"/>
    <mergeCell ref="E30:F30"/>
    <mergeCell ref="E31:F31"/>
    <mergeCell ref="D35:D36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Worth Analyzes</vt:lpstr>
      <vt:lpstr>Emissions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Rossell</dc:creator>
  <cp:lastModifiedBy>William Rossell</cp:lastModifiedBy>
  <dcterms:created xsi:type="dcterms:W3CDTF">2017-11-23T18:28:29Z</dcterms:created>
  <dcterms:modified xsi:type="dcterms:W3CDTF">2017-12-01T09:05:20Z</dcterms:modified>
</cp:coreProperties>
</file>