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space\GIT\EnergyIsland\app\ccpp\service\excledealwith\ccppbaseexcle\"/>
    </mc:Choice>
  </mc:AlternateContent>
  <bookViews>
    <workbookView xWindow="0" yWindow="0" windowWidth="28800" windowHeight="11910"/>
  </bookViews>
  <sheets>
    <sheet name="sheet1" sheetId="1" r:id="rId1"/>
  </sheets>
  <calcPr calcId="152511"/>
</workbook>
</file>

<file path=xl/calcChain.xml><?xml version="1.0" encoding="utf-8"?>
<calcChain xmlns="http://schemas.openxmlformats.org/spreadsheetml/2006/main">
  <c r="D58" i="1" l="1"/>
  <c r="D48" i="1" l="1"/>
  <c r="D49" i="1" s="1"/>
  <c r="D47" i="1"/>
  <c r="B47" i="1"/>
  <c r="R40" i="1"/>
  <c r="N40" i="1"/>
  <c r="R38" i="1"/>
  <c r="Q38" i="1"/>
  <c r="P38" i="1"/>
  <c r="O38" i="1"/>
  <c r="N38" i="1"/>
  <c r="M38" i="1"/>
  <c r="L38" i="1"/>
  <c r="K38" i="1"/>
  <c r="J38" i="1"/>
  <c r="I38" i="1"/>
  <c r="H38" i="1"/>
  <c r="G38" i="1"/>
  <c r="F38" i="1"/>
  <c r="E38" i="1"/>
  <c r="D38" i="1"/>
  <c r="W33" i="1"/>
  <c r="V33" i="1"/>
  <c r="U33" i="1"/>
  <c r="T33" i="1"/>
  <c r="S33" i="1"/>
  <c r="R33" i="1"/>
  <c r="Q33" i="1"/>
  <c r="P33" i="1"/>
  <c r="O33" i="1"/>
  <c r="N33" i="1"/>
  <c r="M33" i="1"/>
  <c r="L33" i="1"/>
  <c r="K33" i="1"/>
  <c r="J33" i="1"/>
  <c r="I33" i="1"/>
  <c r="H33" i="1"/>
  <c r="G33" i="1"/>
  <c r="F33" i="1"/>
  <c r="E33" i="1"/>
  <c r="D33" i="1"/>
  <c r="R32" i="1"/>
  <c r="W31" i="1"/>
  <c r="V31" i="1"/>
  <c r="U31" i="1"/>
  <c r="T31" i="1"/>
  <c r="S31" i="1"/>
  <c r="R31" i="1"/>
  <c r="Q31" i="1"/>
  <c r="P31" i="1"/>
  <c r="O31" i="1"/>
  <c r="N31" i="1"/>
  <c r="M31" i="1"/>
  <c r="L31" i="1"/>
  <c r="K31" i="1"/>
  <c r="J31" i="1"/>
  <c r="I31" i="1"/>
  <c r="H31" i="1"/>
  <c r="G31" i="1"/>
  <c r="F31" i="1"/>
  <c r="E31" i="1"/>
  <c r="D31" i="1"/>
  <c r="W30" i="1"/>
  <c r="V30" i="1"/>
  <c r="U30" i="1"/>
  <c r="T30" i="1"/>
  <c r="S30" i="1"/>
  <c r="S41" i="1" s="1"/>
  <c r="R30" i="1"/>
  <c r="R41" i="1" s="1"/>
  <c r="Q30" i="1"/>
  <c r="P30" i="1"/>
  <c r="O30" i="1"/>
  <c r="N30" i="1"/>
  <c r="M30" i="1"/>
  <c r="L30" i="1"/>
  <c r="K30" i="1"/>
  <c r="J30" i="1"/>
  <c r="J41" i="1" s="1"/>
  <c r="I30" i="1"/>
  <c r="H30" i="1"/>
  <c r="G30" i="1"/>
  <c r="F30" i="1"/>
  <c r="E30" i="1"/>
  <c r="D30" i="1"/>
  <c r="W28" i="1"/>
  <c r="W32" i="1" s="1"/>
  <c r="V28" i="1"/>
  <c r="V32" i="1" s="1"/>
  <c r="S28" i="1"/>
  <c r="S32" i="1" s="1"/>
  <c r="R28" i="1"/>
  <c r="O28" i="1"/>
  <c r="O32" i="1" s="1"/>
  <c r="N28" i="1"/>
  <c r="N32" i="1" s="1"/>
  <c r="K28" i="1"/>
  <c r="K32" i="1" s="1"/>
  <c r="J28" i="1"/>
  <c r="J32" i="1" s="1"/>
  <c r="G28" i="1"/>
  <c r="G32" i="1" s="1"/>
  <c r="F28" i="1"/>
  <c r="F32" i="1" s="1"/>
  <c r="M24" i="1"/>
  <c r="L24" i="1"/>
  <c r="K24" i="1"/>
  <c r="J24" i="1"/>
  <c r="I24" i="1"/>
  <c r="H24" i="1"/>
  <c r="G24" i="1"/>
  <c r="F24" i="1"/>
  <c r="E24" i="1"/>
  <c r="D24" i="1"/>
  <c r="W23" i="1"/>
  <c r="V23" i="1"/>
  <c r="U23" i="1"/>
  <c r="T23" i="1"/>
  <c r="S23" i="1"/>
  <c r="R23" i="1"/>
  <c r="Q23" i="1"/>
  <c r="P23" i="1"/>
  <c r="O23" i="1"/>
  <c r="N23" i="1"/>
  <c r="M23" i="1"/>
  <c r="L23" i="1"/>
  <c r="K23" i="1"/>
  <c r="J23" i="1"/>
  <c r="I23" i="1"/>
  <c r="H23" i="1"/>
  <c r="G23" i="1"/>
  <c r="F23" i="1"/>
  <c r="E23" i="1"/>
  <c r="D23" i="1"/>
  <c r="W22" i="1"/>
  <c r="V22" i="1"/>
  <c r="U22" i="1"/>
  <c r="T22" i="1"/>
  <c r="S22" i="1"/>
  <c r="R22" i="1"/>
  <c r="Q22" i="1"/>
  <c r="P22" i="1"/>
  <c r="O22" i="1"/>
  <c r="N22" i="1"/>
  <c r="M22" i="1"/>
  <c r="L22" i="1"/>
  <c r="K22" i="1"/>
  <c r="J22" i="1"/>
  <c r="I22" i="1"/>
  <c r="H22" i="1"/>
  <c r="G22" i="1"/>
  <c r="F22" i="1"/>
  <c r="E22" i="1"/>
  <c r="D22" i="1"/>
  <c r="W21" i="1"/>
  <c r="V21" i="1"/>
  <c r="U21" i="1"/>
  <c r="T21" i="1"/>
  <c r="S21" i="1"/>
  <c r="R21" i="1"/>
  <c r="Q21" i="1"/>
  <c r="P21" i="1"/>
  <c r="O21" i="1"/>
  <c r="N21" i="1"/>
  <c r="M21" i="1"/>
  <c r="L21" i="1"/>
  <c r="K21" i="1"/>
  <c r="J21" i="1"/>
  <c r="I21" i="1"/>
  <c r="H21" i="1"/>
  <c r="G21" i="1"/>
  <c r="F21" i="1"/>
  <c r="E21" i="1"/>
  <c r="D21" i="1"/>
  <c r="W20" i="1"/>
  <c r="V20" i="1"/>
  <c r="U20" i="1"/>
  <c r="T20" i="1"/>
  <c r="S20" i="1"/>
  <c r="R20" i="1"/>
  <c r="Q20" i="1"/>
  <c r="P20" i="1"/>
  <c r="O20" i="1"/>
  <c r="N20" i="1"/>
  <c r="M20" i="1"/>
  <c r="L20" i="1"/>
  <c r="K20" i="1"/>
  <c r="J20" i="1"/>
  <c r="I20" i="1"/>
  <c r="H20" i="1"/>
  <c r="G20" i="1"/>
  <c r="F20" i="1"/>
  <c r="E20" i="1"/>
  <c r="D20" i="1"/>
  <c r="P19" i="1"/>
  <c r="P40" i="1" s="1"/>
  <c r="W13" i="1"/>
  <c r="W19" i="1" s="1"/>
  <c r="W40" i="1" s="1"/>
  <c r="V13" i="1"/>
  <c r="V19" i="1" s="1"/>
  <c r="V40" i="1" s="1"/>
  <c r="U13" i="1"/>
  <c r="U19" i="1" s="1"/>
  <c r="U40" i="1" s="1"/>
  <c r="T13" i="1"/>
  <c r="T28" i="1" s="1"/>
  <c r="T32" i="1" s="1"/>
  <c r="S13" i="1"/>
  <c r="S19" i="1" s="1"/>
  <c r="S40" i="1" s="1"/>
  <c r="S42" i="1" s="1"/>
  <c r="S43" i="1" s="1"/>
  <c r="S44" i="1" s="1"/>
  <c r="S52" i="1" s="1"/>
  <c r="R13" i="1"/>
  <c r="R19" i="1" s="1"/>
  <c r="Q13" i="1"/>
  <c r="Q19" i="1" s="1"/>
  <c r="Q40" i="1" s="1"/>
  <c r="P13" i="1"/>
  <c r="P28" i="1" s="1"/>
  <c r="P32" i="1" s="1"/>
  <c r="O13" i="1"/>
  <c r="O19" i="1" s="1"/>
  <c r="O40" i="1" s="1"/>
  <c r="N13" i="1"/>
  <c r="N19" i="1" s="1"/>
  <c r="M13" i="1"/>
  <c r="M19" i="1" s="1"/>
  <c r="M40" i="1" s="1"/>
  <c r="L13" i="1"/>
  <c r="L28" i="1" s="1"/>
  <c r="L32" i="1" s="1"/>
  <c r="K13" i="1"/>
  <c r="K19" i="1" s="1"/>
  <c r="K40" i="1" s="1"/>
  <c r="J13" i="1"/>
  <c r="J19" i="1" s="1"/>
  <c r="J40" i="1" s="1"/>
  <c r="I13" i="1"/>
  <c r="I19" i="1" s="1"/>
  <c r="I40" i="1" s="1"/>
  <c r="H13" i="1"/>
  <c r="H28" i="1" s="1"/>
  <c r="H32" i="1" s="1"/>
  <c r="G13" i="1"/>
  <c r="G19" i="1" s="1"/>
  <c r="G40" i="1" s="1"/>
  <c r="F13" i="1"/>
  <c r="F35" i="1" s="1"/>
  <c r="E13" i="1"/>
  <c r="E19" i="1" s="1"/>
  <c r="E40" i="1" s="1"/>
  <c r="D13" i="1"/>
  <c r="D28" i="1" s="1"/>
  <c r="D32" i="1" s="1"/>
  <c r="F41" i="1" l="1"/>
  <c r="N41" i="1"/>
  <c r="N42" i="1" s="1"/>
  <c r="N43" i="1" s="1"/>
  <c r="N44" i="1" s="1"/>
  <c r="N52" i="1" s="1"/>
  <c r="Q41" i="1"/>
  <c r="Q42" i="1" s="1"/>
  <c r="Q43" i="1" s="1"/>
  <c r="Q44" i="1" s="1"/>
  <c r="Q52" i="1" s="1"/>
  <c r="T19" i="1"/>
  <c r="T40" i="1" s="1"/>
  <c r="W41" i="1"/>
  <c r="L19" i="1"/>
  <c r="L40" i="1" s="1"/>
  <c r="W42" i="1"/>
  <c r="W43" i="1" s="1"/>
  <c r="W44" i="1" s="1"/>
  <c r="W52" i="1" s="1"/>
  <c r="V41" i="1"/>
  <c r="V42" i="1" s="1"/>
  <c r="V43" i="1" s="1"/>
  <c r="V44" i="1" s="1"/>
  <c r="V52" i="1" s="1"/>
  <c r="E41" i="1"/>
  <c r="D19" i="1"/>
  <c r="D40" i="1" s="1"/>
  <c r="R42" i="1"/>
  <c r="R43" i="1" s="1"/>
  <c r="R44" i="1" s="1"/>
  <c r="R52" i="1" s="1"/>
  <c r="H19" i="1"/>
  <c r="H40" i="1" s="1"/>
  <c r="D41" i="1"/>
  <c r="H41" i="1"/>
  <c r="L41" i="1"/>
  <c r="P41" i="1"/>
  <c r="P42" i="1" s="1"/>
  <c r="P43" i="1" s="1"/>
  <c r="P44" i="1" s="1"/>
  <c r="P52" i="1" s="1"/>
  <c r="T41" i="1"/>
  <c r="G41" i="1"/>
  <c r="K41" i="1"/>
  <c r="O41" i="1"/>
  <c r="O42" i="1" s="1"/>
  <c r="O43" i="1" s="1"/>
  <c r="O44" i="1" s="1"/>
  <c r="O52" i="1" s="1"/>
  <c r="D50" i="1"/>
  <c r="E28" i="1"/>
  <c r="E32" i="1" s="1"/>
  <c r="I28" i="1"/>
  <c r="I32" i="1" s="1"/>
  <c r="I41" i="1" s="1"/>
  <c r="M28" i="1"/>
  <c r="M32" i="1" s="1"/>
  <c r="M41" i="1" s="1"/>
  <c r="M42" i="1" s="1"/>
  <c r="M43" i="1" s="1"/>
  <c r="M44" i="1" s="1"/>
  <c r="M52" i="1" s="1"/>
  <c r="Q28" i="1"/>
  <c r="Q32" i="1" s="1"/>
  <c r="U28" i="1"/>
  <c r="U32" i="1" s="1"/>
  <c r="U41" i="1" s="1"/>
  <c r="U42" i="1" s="1"/>
  <c r="U43" i="1" s="1"/>
  <c r="U44" i="1" s="1"/>
  <c r="U52" i="1" s="1"/>
  <c r="F19" i="1"/>
  <c r="F40" i="1" s="1"/>
  <c r="D42" i="1" l="1"/>
  <c r="T42" i="1"/>
  <c r="T43" i="1" s="1"/>
  <c r="T44" i="1" s="1"/>
  <c r="T52" i="1" s="1"/>
  <c r="D43" i="1" l="1"/>
  <c r="D44" i="1" l="1"/>
  <c r="D52" i="1" l="1"/>
  <c r="D51" i="1"/>
  <c r="E49" i="1" s="1"/>
  <c r="E50" i="1" l="1"/>
  <c r="E42" i="1" s="1"/>
  <c r="D53" i="1"/>
  <c r="E43" i="1" l="1"/>
  <c r="E44" i="1" l="1"/>
  <c r="E52" i="1" l="1"/>
  <c r="E51" i="1"/>
  <c r="F49" i="1" s="1"/>
  <c r="F50" i="1" l="1"/>
  <c r="F42" i="1" s="1"/>
  <c r="E53" i="1"/>
  <c r="F43" i="1" l="1"/>
  <c r="F44" i="1" l="1"/>
  <c r="F52" i="1" l="1"/>
  <c r="F51" i="1"/>
  <c r="G49" i="1" s="1"/>
  <c r="G50" i="1" l="1"/>
  <c r="G42" i="1" s="1"/>
  <c r="H49" i="1"/>
  <c r="F53" i="1"/>
  <c r="H50" i="1" l="1"/>
  <c r="H42" i="1" s="1"/>
  <c r="H43" i="1" s="1"/>
  <c r="H44" i="1" s="1"/>
  <c r="H52" i="1" s="1"/>
  <c r="I49" i="1"/>
  <c r="G43" i="1"/>
  <c r="G44" i="1" l="1"/>
  <c r="G52" i="1" s="1"/>
  <c r="I50" i="1"/>
  <c r="I42" i="1" s="1"/>
  <c r="J49" i="1"/>
  <c r="I43" i="1" l="1"/>
  <c r="J50" i="1"/>
  <c r="J42" i="1" s="1"/>
  <c r="J43" i="1" s="1"/>
  <c r="J44" i="1" s="1"/>
  <c r="J52" i="1" s="1"/>
  <c r="K49" i="1"/>
  <c r="G53" i="1"/>
  <c r="H53" i="1" s="1"/>
  <c r="K50" i="1" l="1"/>
  <c r="K42" i="1" s="1"/>
  <c r="K43" i="1" s="1"/>
  <c r="K44" i="1" s="1"/>
  <c r="K52" i="1" s="1"/>
  <c r="L49" i="1"/>
  <c r="L50" i="1" s="1"/>
  <c r="L42" i="1" s="1"/>
  <c r="I53" i="1"/>
  <c r="J53" i="1" s="1"/>
  <c r="I44" i="1"/>
  <c r="I52" i="1" s="1"/>
  <c r="D54" i="1" l="1"/>
  <c r="K53" i="1"/>
  <c r="L43" i="1"/>
  <c r="D55" i="1"/>
  <c r="L44" i="1" l="1"/>
  <c r="L52" i="1" s="1"/>
  <c r="D1" i="1"/>
  <c r="D56" i="1" l="1"/>
  <c r="D57" i="1"/>
  <c r="L53" i="1"/>
  <c r="M53" i="1" s="1"/>
  <c r="N53" i="1" s="1"/>
  <c r="O53" i="1" s="1"/>
  <c r="P53" i="1" s="1"/>
  <c r="Q53" i="1" s="1"/>
  <c r="R53" i="1" s="1"/>
  <c r="S53" i="1" s="1"/>
  <c r="T53" i="1" s="1"/>
  <c r="U53" i="1" s="1"/>
  <c r="V53" i="1" s="1"/>
  <c r="W53" i="1" s="1"/>
</calcChain>
</file>

<file path=xl/comments1.xml><?xml version="1.0" encoding="utf-8"?>
<comments xmlns="http://schemas.openxmlformats.org/spreadsheetml/2006/main">
  <authors>
    <author>Janice</author>
  </authors>
  <commentList>
    <comment ref="Q6" authorId="0" shapeId="0">
      <text>
        <r>
          <rPr>
            <sz val="11"/>
            <color theme="1"/>
            <rFont val="ＭＳ Ｐゴシック"/>
            <charset val="134"/>
            <scheme val="minor"/>
          </rPr>
          <t>如按kWh收费，下表也需改为年供热量。</t>
        </r>
      </text>
    </comment>
    <comment ref="B42" authorId="0" shapeId="0">
      <text>
        <r>
          <rPr>
            <sz val="11"/>
            <color theme="1"/>
            <rFont val="ＭＳ Ｐゴシック"/>
            <charset val="134"/>
            <scheme val="minor"/>
          </rPr>
          <t>负值需改为0</t>
        </r>
      </text>
    </comment>
    <comment ref="B51" authorId="0" shapeId="0">
      <text>
        <r>
          <rPr>
            <sz val="11"/>
            <color theme="1"/>
            <rFont val="ＭＳ Ｐゴシック"/>
            <charset val="134"/>
            <scheme val="minor"/>
          </rPr>
          <t>可修改。</t>
        </r>
      </text>
    </comment>
    <comment ref="B54" authorId="0" shapeId="0">
      <text>
        <r>
          <rPr>
            <sz val="11"/>
            <color theme="1"/>
            <rFont val="ＭＳ Ｐゴシック"/>
            <charset val="134"/>
            <scheme val="minor"/>
          </rPr>
          <t>累计现金流由负值变为正值的年份。</t>
        </r>
      </text>
    </comment>
  </commentList>
</comments>
</file>

<file path=xl/sharedStrings.xml><?xml version="1.0" encoding="utf-8"?>
<sst xmlns="http://schemas.openxmlformats.org/spreadsheetml/2006/main" count="95" uniqueCount="87">
  <si>
    <t>说明：
1、表中蓝色底色部分为需要输入的数据。
2、税前利润为负值的部分、银行利息、投资回收期需要手动修改。
3、收入和费用均为不含税费用，等同于考虑了销项税进项税抵扣，在减免增值税的项目中，需重新核算。
4、模板中默认使用经营性现金流还款，银行还款计划也可根据实际情况修改。</t>
  </si>
  <si>
    <t>能源价格</t>
  </si>
  <si>
    <t>供能价格</t>
  </si>
  <si>
    <t>天然气</t>
  </si>
  <si>
    <t>元/m³</t>
  </si>
  <si>
    <t>电</t>
  </si>
  <si>
    <t>元/kWh</t>
  </si>
  <si>
    <t>燃煤</t>
  </si>
  <si>
    <t>元/t</t>
  </si>
  <si>
    <t>热水</t>
  </si>
  <si>
    <t>水</t>
  </si>
  <si>
    <t>采暖</t>
  </si>
  <si>
    <t>元/GJ</t>
  </si>
  <si>
    <t>制冷</t>
  </si>
  <si>
    <t>蒸汽价格</t>
  </si>
  <si>
    <t>其他</t>
  </si>
  <si>
    <t>年份</t>
  </si>
  <si>
    <t>第1年</t>
  </si>
  <si>
    <t>第2年</t>
  </si>
  <si>
    <t>第3年</t>
  </si>
  <si>
    <t>第4年</t>
  </si>
  <si>
    <t>第5年</t>
  </si>
  <si>
    <t>第6年</t>
  </si>
  <si>
    <t>第7年</t>
  </si>
  <si>
    <t>第8年</t>
  </si>
  <si>
    <t>第9年</t>
  </si>
  <si>
    <t>第10年</t>
  </si>
  <si>
    <t>第11年</t>
  </si>
  <si>
    <t>第12年</t>
  </si>
  <si>
    <t>第13年</t>
  </si>
  <si>
    <t>第14年</t>
  </si>
  <si>
    <t>第15年</t>
  </si>
  <si>
    <t>第16年</t>
  </si>
  <si>
    <t>第17年</t>
  </si>
  <si>
    <t>第18年</t>
  </si>
  <si>
    <t>第19年</t>
  </si>
  <si>
    <t>第20年</t>
  </si>
  <si>
    <t>收入</t>
  </si>
  <si>
    <t>供电量-万kWh/a</t>
  </si>
  <si>
    <t>供热水-万t/a</t>
  </si>
  <si>
    <t>供暖-万GJ</t>
  </si>
  <si>
    <t>供冷-万GJ</t>
  </si>
  <si>
    <t>产汽量-万吨</t>
  </si>
  <si>
    <t>供电收入-万元/a(增值税17%)</t>
  </si>
  <si>
    <t>供热水收入-万元/a(增值税11%)</t>
  </si>
  <si>
    <t>供暖收入-万元/a(增值税11%)</t>
  </si>
  <si>
    <t>供冷收入-万元/a(增值税11%)</t>
  </si>
  <si>
    <t>供蒸汽收入-万元/a(增值税11%)</t>
  </si>
  <si>
    <t>其他-万元/a(不含税)(政府补贴)</t>
  </si>
  <si>
    <t>成本</t>
  </si>
  <si>
    <t>燃气耗量-万m³/a</t>
  </si>
  <si>
    <t>燃煤耗量-万t/a</t>
  </si>
  <si>
    <t>耗电量-万kWh/a</t>
  </si>
  <si>
    <t>耗水量-万t/a</t>
  </si>
  <si>
    <t>燃气费用-万元/a(增值税13%)</t>
  </si>
  <si>
    <t>燃煤费用-万元/a(增值税13%)</t>
  </si>
  <si>
    <t>电力成本-万元/a(增值税17%)</t>
  </si>
  <si>
    <t>耗水成本-万元/a(增值税13%)</t>
  </si>
  <si>
    <t>材料费用-万元/a</t>
  </si>
  <si>
    <t>维护费用-万元/a</t>
  </si>
  <si>
    <t>人工费用-万元/a</t>
  </si>
  <si>
    <t>其他-万元/a(包括土地租金及容量费)</t>
  </si>
  <si>
    <t>折旧摊销-万元(15年,5%残值)（建筑最少20年，设备最少8年）</t>
  </si>
  <si>
    <t>技经指标测算</t>
  </si>
  <si>
    <t>总销售额-万元</t>
  </si>
  <si>
    <t xml:space="preserve">总成本-万元 </t>
  </si>
  <si>
    <t>税前利润-万元</t>
  </si>
  <si>
    <t>税后利润-万元(享受三免三减半）（增值税25%）</t>
  </si>
  <si>
    <t>经营现金流-万元</t>
  </si>
  <si>
    <t>收购成本-万元</t>
  </si>
  <si>
    <t xml:space="preserve">新增投资-万元  </t>
  </si>
  <si>
    <t>银行借款-万元</t>
  </si>
  <si>
    <t>银行借款余额-万元</t>
  </si>
  <si>
    <t>银行利息-万元(利率7.5%)</t>
  </si>
  <si>
    <t>还款计划-万元</t>
  </si>
  <si>
    <t>净现金流-万元</t>
  </si>
  <si>
    <t>累计现金流-万元</t>
  </si>
  <si>
    <t>动态投资回收期-年(不含建设期)</t>
  </si>
  <si>
    <t>是指净现金流量累计现值等于零时的年份。</t>
  </si>
  <si>
    <t>总投资收益率</t>
  </si>
  <si>
    <t>又称投资报酬率（记作ROI），是指达产期正常年份的年息税前利润或运营期年均息税前利润占项目总投资的百分比。</t>
  </si>
  <si>
    <t>NPV-万元</t>
  </si>
  <si>
    <t>是指投资方案所产生的现金净流量以资金成本为贴现率折现之后与原始投资额现值的差额。净现值大于零则方案可行，且净现值越大，方案越优。</t>
  </si>
  <si>
    <t>IRR(全投资内部收益率)</t>
  </si>
  <si>
    <t>是资金流入现值总额与资金流出现值总额相等、净现值等于零时的折现率。火力发电行业基准为8%。</t>
  </si>
  <si>
    <t>全投资收益率（集团规定）</t>
  </si>
  <si>
    <t>不考虑财务成本时的平均净利润与总投资之比，集团规定不低于12%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</si>
</sst>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Red]\¥\-#,##0"/>
    <numFmt numFmtId="177" formatCode="0_ "/>
    <numFmt numFmtId="178" formatCode="0.0_ "/>
    <numFmt numFmtId="179" formatCode="0.00_ "/>
    <numFmt numFmtId="180" formatCode="0.000_ "/>
    <numFmt numFmtId="181" formatCode="0.0%"/>
  </numFmts>
  <fonts count="16">
    <font>
      <sz val="11"/>
      <color theme="1"/>
      <name val="ＭＳ Ｐゴシック"/>
      <charset val="134"/>
      <scheme val="minor"/>
    </font>
    <font>
      <sz val="10"/>
      <color rgb="FF000000"/>
      <name val="宋体"/>
      <family val="3"/>
      <charset val="134"/>
    </font>
    <font>
      <sz val="10"/>
      <color rgb="FF000000"/>
      <name val="Times New Roman"/>
      <family val="1"/>
    </font>
    <font>
      <sz val="10"/>
      <color theme="1"/>
      <name val="Times New Roman"/>
      <family val="1"/>
    </font>
    <font>
      <sz val="10"/>
      <color theme="1"/>
      <name val="宋体"/>
      <family val="3"/>
      <charset val="134"/>
    </font>
    <font>
      <b/>
      <sz val="10"/>
      <color theme="1"/>
      <name val="宋体"/>
      <family val="3"/>
      <charset val="134"/>
    </font>
    <font>
      <b/>
      <sz val="10"/>
      <color theme="1"/>
      <name val="Times New Roman"/>
      <family val="1"/>
    </font>
    <font>
      <b/>
      <sz val="10"/>
      <color rgb="FF000000"/>
      <name val="宋体"/>
      <family val="3"/>
      <charset val="134"/>
    </font>
    <font>
      <sz val="9"/>
      <color theme="1"/>
      <name val="ＭＳ Ｐゴシック"/>
      <family val="3"/>
      <charset val="134"/>
      <scheme val="minor"/>
    </font>
    <font>
      <sz val="11"/>
      <color theme="1"/>
      <name val="ＭＳ Ｐゴシック"/>
      <family val="3"/>
      <charset val="134"/>
      <scheme val="minor"/>
    </font>
    <font>
      <sz val="10"/>
      <color theme="1"/>
      <name val="Times New Roman"/>
      <family val="3"/>
      <charset val="134"/>
    </font>
    <font>
      <b/>
      <sz val="12"/>
      <color rgb="FFFF0000"/>
      <name val="Times New Roman"/>
      <family val="1"/>
    </font>
    <font>
      <sz val="10"/>
      <color rgb="FF000000"/>
      <name val="Times New Roman"/>
      <family val="3"/>
      <charset val="134"/>
    </font>
    <font>
      <sz val="10"/>
      <color rgb="FFFF0000"/>
      <name val="Times New Roman"/>
      <family val="1"/>
    </font>
    <font>
      <sz val="16"/>
      <color theme="1"/>
      <name val="Times New Roman"/>
      <family val="1"/>
    </font>
    <font>
      <sz val="6"/>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cellStyleXfs>
  <cellXfs count="68">
    <xf numFmtId="0" fontId="0" fillId="0" borderId="0" xfId="0" applyAlignment="1">
      <alignment vertical="center"/>
    </xf>
    <xf numFmtId="0" fontId="2" fillId="0" borderId="1" xfId="0" applyFont="1" applyBorder="1" applyAlignment="1">
      <alignment vertical="center" wrapText="1" readingOrder="1"/>
    </xf>
    <xf numFmtId="2" fontId="2" fillId="0" borderId="1" xfId="0" applyNumberFormat="1" applyFont="1" applyBorder="1" applyAlignment="1">
      <alignment horizontal="right" vertical="center" wrapText="1" readingOrder="1"/>
    </xf>
    <xf numFmtId="1" fontId="2" fillId="0" borderId="1" xfId="0" applyNumberFormat="1" applyFont="1" applyBorder="1" applyAlignment="1">
      <alignment horizontal="right" vertical="center" wrapText="1" readingOrder="1"/>
    </xf>
    <xf numFmtId="10" fontId="2" fillId="0" borderId="1" xfId="0" applyNumberFormat="1" applyFont="1" applyBorder="1" applyAlignment="1">
      <alignment horizontal="right" vertical="center" wrapText="1" readingOrder="1"/>
    </xf>
    <xf numFmtId="0" fontId="3" fillId="0" borderId="1" xfId="0" applyFont="1" applyBorder="1" applyAlignment="1">
      <alignment horizontal="right" vertical="center" readingOrder="1"/>
    </xf>
    <xf numFmtId="10" fontId="3" fillId="0" borderId="1" xfId="0" applyNumberFormat="1" applyFont="1" applyBorder="1" applyAlignment="1">
      <alignment horizontal="right" vertical="center" readingOrder="1"/>
    </xf>
    <xf numFmtId="0" fontId="8" fillId="0" borderId="1" xfId="0" applyFont="1" applyBorder="1" applyAlignment="1">
      <alignment vertical="center"/>
    </xf>
    <xf numFmtId="0" fontId="5" fillId="4" borderId="1" xfId="0" applyFont="1" applyFill="1" applyBorder="1" applyAlignment="1">
      <alignment vertical="center"/>
    </xf>
    <xf numFmtId="10" fontId="6" fillId="4" borderId="1" xfId="1" applyNumberFormat="1" applyFont="1" applyFill="1" applyBorder="1" applyAlignment="1">
      <alignment vertical="center"/>
    </xf>
    <xf numFmtId="0" fontId="6" fillId="4" borderId="1" xfId="0" applyFont="1" applyFill="1" applyBorder="1" applyAlignment="1">
      <alignment vertical="center"/>
    </xf>
    <xf numFmtId="0" fontId="3" fillId="0" borderId="1" xfId="0" applyFont="1" applyBorder="1" applyAlignment="1">
      <alignment vertical="center"/>
    </xf>
    <xf numFmtId="0" fontId="3" fillId="4" borderId="1" xfId="0" applyFont="1" applyFill="1" applyBorder="1" applyAlignment="1">
      <alignment vertical="center"/>
    </xf>
    <xf numFmtId="0" fontId="4" fillId="0" borderId="0" xfId="0" applyFont="1" applyAlignment="1">
      <alignment vertical="center"/>
    </xf>
    <xf numFmtId="1" fontId="2" fillId="5" borderId="1" xfId="0" applyNumberFormat="1" applyFont="1" applyFill="1" applyBorder="1" applyAlignment="1">
      <alignment horizontal="right" vertical="center" wrapText="1" readingOrder="1"/>
    </xf>
    <xf numFmtId="0" fontId="3" fillId="5" borderId="1" xfId="0" applyFont="1" applyFill="1" applyBorder="1" applyAlignment="1">
      <alignment horizontal="right" vertical="center" readingOrder="1"/>
    </xf>
    <xf numFmtId="0" fontId="3" fillId="5" borderId="1" xfId="0" applyFont="1" applyFill="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3" fillId="5" borderId="0" xfId="0" applyFont="1" applyFill="1" applyAlignment="1">
      <alignment vertical="center"/>
    </xf>
    <xf numFmtId="177" fontId="3" fillId="0" borderId="0" xfId="0" applyNumberFormat="1" applyFont="1" applyAlignment="1">
      <alignment vertical="center"/>
    </xf>
    <xf numFmtId="177" fontId="3" fillId="5" borderId="0" xfId="0" applyNumberFormat="1" applyFont="1" applyFill="1" applyAlignment="1">
      <alignment vertical="center"/>
    </xf>
    <xf numFmtId="177" fontId="3" fillId="0" borderId="2" xfId="0" applyNumberFormat="1" applyFont="1" applyBorder="1" applyAlignment="1">
      <alignment horizontal="center" vertical="center"/>
    </xf>
    <xf numFmtId="179" fontId="3" fillId="3" borderId="0" xfId="0" applyNumberFormat="1" applyFont="1" applyFill="1" applyAlignment="1">
      <alignment vertical="center"/>
    </xf>
    <xf numFmtId="177" fontId="4" fillId="0" borderId="4" xfId="0" applyNumberFormat="1" applyFont="1" applyBorder="1" applyAlignment="1">
      <alignment vertical="center"/>
    </xf>
    <xf numFmtId="180" fontId="3" fillId="7" borderId="0" xfId="0" applyNumberFormat="1" applyFont="1" applyFill="1" applyAlignment="1">
      <alignment vertical="center"/>
    </xf>
    <xf numFmtId="177" fontId="3" fillId="3" borderId="0" xfId="0" applyNumberFormat="1" applyFont="1" applyFill="1" applyAlignment="1">
      <alignment vertical="center"/>
    </xf>
    <xf numFmtId="177" fontId="3" fillId="0" borderId="4" xfId="0" applyNumberFormat="1" applyFont="1" applyBorder="1" applyAlignment="1">
      <alignment vertical="center"/>
    </xf>
    <xf numFmtId="177" fontId="4" fillId="0" borderId="2" xfId="0" applyNumberFormat="1" applyFont="1" applyBorder="1" applyAlignment="1">
      <alignment horizontal="center" vertical="center"/>
    </xf>
    <xf numFmtId="177" fontId="3" fillId="7" borderId="0" xfId="0" applyNumberFormat="1" applyFont="1" applyFill="1" applyAlignment="1">
      <alignment vertical="center"/>
    </xf>
    <xf numFmtId="177" fontId="10" fillId="0" borderId="0" xfId="0" applyNumberFormat="1" applyFont="1" applyAlignment="1">
      <alignment vertical="center"/>
    </xf>
    <xf numFmtId="177" fontId="4" fillId="0" borderId="0" xfId="0" applyNumberFormat="1" applyFont="1" applyAlignment="1">
      <alignment vertical="center"/>
    </xf>
    <xf numFmtId="177" fontId="3" fillId="0" borderId="0" xfId="0" applyNumberFormat="1" applyFont="1" applyAlignment="1">
      <alignment horizontal="center" vertical="center"/>
    </xf>
    <xf numFmtId="177" fontId="3" fillId="0" borderId="5" xfId="0" applyNumberFormat="1" applyFont="1" applyBorder="1" applyAlignment="1">
      <alignment horizontal="center" vertical="center"/>
    </xf>
    <xf numFmtId="177" fontId="3" fillId="3" borderId="6" xfId="0" applyNumberFormat="1" applyFont="1" applyFill="1" applyBorder="1" applyAlignment="1">
      <alignment vertical="center"/>
    </xf>
    <xf numFmtId="178" fontId="3" fillId="0" borderId="6" xfId="0" applyNumberFormat="1" applyFont="1" applyBorder="1" applyAlignment="1">
      <alignment vertical="center"/>
    </xf>
    <xf numFmtId="177" fontId="3" fillId="0" borderId="7" xfId="0" applyNumberFormat="1" applyFont="1" applyBorder="1" applyAlignment="1">
      <alignment vertical="center"/>
    </xf>
    <xf numFmtId="177" fontId="3" fillId="5" borderId="6" xfId="0" applyNumberFormat="1" applyFont="1" applyFill="1" applyBorder="1" applyAlignment="1">
      <alignment vertical="center"/>
    </xf>
    <xf numFmtId="177" fontId="3" fillId="0" borderId="6" xfId="0" applyNumberFormat="1" applyFont="1" applyBorder="1" applyAlignment="1">
      <alignment vertical="center"/>
    </xf>
    <xf numFmtId="177" fontId="2" fillId="0" borderId="1" xfId="0" applyNumberFormat="1" applyFont="1" applyBorder="1" applyAlignment="1">
      <alignment vertical="center" wrapText="1" readingOrder="1"/>
    </xf>
    <xf numFmtId="177" fontId="2" fillId="0" borderId="1" xfId="0" applyNumberFormat="1" applyFont="1" applyBorder="1" applyAlignment="1">
      <alignment horizontal="left" vertical="center" wrapText="1" readingOrder="1"/>
    </xf>
    <xf numFmtId="177" fontId="2" fillId="5" borderId="1" xfId="0" applyNumberFormat="1" applyFont="1" applyFill="1" applyBorder="1" applyAlignment="1">
      <alignment horizontal="left" vertical="center" wrapText="1" readingOrder="1"/>
    </xf>
    <xf numFmtId="177" fontId="6" fillId="2" borderId="1" xfId="0" applyNumberFormat="1" applyFont="1" applyFill="1" applyBorder="1" applyAlignment="1">
      <alignment vertical="center" wrapText="1" readingOrder="1"/>
    </xf>
    <xf numFmtId="177" fontId="2" fillId="3" borderId="1" xfId="0" applyNumberFormat="1" applyFont="1" applyFill="1" applyBorder="1" applyAlignment="1">
      <alignment horizontal="right" vertical="center" wrapText="1" readingOrder="1"/>
    </xf>
    <xf numFmtId="177" fontId="2" fillId="0" borderId="1" xfId="0" applyNumberFormat="1" applyFont="1" applyBorder="1" applyAlignment="1">
      <alignment horizontal="right" vertical="center" wrapText="1" readingOrder="1"/>
    </xf>
    <xf numFmtId="177" fontId="2" fillId="5" borderId="1" xfId="0" applyNumberFormat="1" applyFont="1" applyFill="1" applyBorder="1" applyAlignment="1">
      <alignment horizontal="right" vertical="center" wrapText="1" readingOrder="1"/>
    </xf>
    <xf numFmtId="177" fontId="2" fillId="3" borderId="1" xfId="0" applyNumberFormat="1" applyFont="1" applyFill="1" applyBorder="1" applyAlignment="1">
      <alignment vertical="center" wrapText="1" readingOrder="1"/>
    </xf>
    <xf numFmtId="178" fontId="2" fillId="3" borderId="1" xfId="0" applyNumberFormat="1" applyFont="1" applyFill="1" applyBorder="1" applyAlignment="1">
      <alignment horizontal="right" vertical="center" wrapText="1" readingOrder="1"/>
    </xf>
    <xf numFmtId="181" fontId="2" fillId="3" borderId="1" xfId="0" applyNumberFormat="1" applyFont="1" applyFill="1" applyBorder="1" applyAlignment="1">
      <alignment horizontal="right" vertical="center" wrapText="1" readingOrder="1"/>
    </xf>
    <xf numFmtId="177" fontId="12" fillId="0" borderId="1" xfId="0" applyNumberFormat="1" applyFont="1" applyBorder="1" applyAlignment="1">
      <alignment vertical="center" wrapText="1" readingOrder="1"/>
    </xf>
    <xf numFmtId="177" fontId="2" fillId="6" borderId="1" xfId="0" applyNumberFormat="1" applyFont="1" applyFill="1" applyBorder="1" applyAlignment="1">
      <alignment horizontal="right" vertical="center" wrapText="1" readingOrder="1"/>
    </xf>
    <xf numFmtId="177" fontId="1" fillId="3" borderId="1" xfId="0" applyNumberFormat="1" applyFont="1" applyFill="1" applyBorder="1" applyAlignment="1">
      <alignment vertical="center" wrapText="1" readingOrder="1"/>
    </xf>
    <xf numFmtId="177" fontId="1" fillId="0" borderId="1" xfId="0" applyNumberFormat="1" applyFont="1" applyBorder="1" applyAlignment="1">
      <alignment vertical="center" wrapText="1" readingOrder="1"/>
    </xf>
    <xf numFmtId="177" fontId="7" fillId="2" borderId="1" xfId="0" applyNumberFormat="1" applyFont="1" applyFill="1" applyBorder="1" applyAlignment="1">
      <alignment vertical="center" wrapText="1" readingOrder="1"/>
    </xf>
    <xf numFmtId="177" fontId="2" fillId="5" borderId="1" xfId="0" applyNumberFormat="1" applyFont="1" applyFill="1" applyBorder="1" applyAlignment="1">
      <alignment vertical="center" wrapText="1" readingOrder="1"/>
    </xf>
    <xf numFmtId="177" fontId="2" fillId="0" borderId="0" xfId="0" applyNumberFormat="1" applyFont="1" applyAlignment="1">
      <alignment horizontal="right" vertical="center" wrapText="1"/>
    </xf>
    <xf numFmtId="177" fontId="2" fillId="5" borderId="0" xfId="0" applyNumberFormat="1" applyFont="1" applyFill="1" applyAlignment="1">
      <alignment horizontal="right" vertical="center" wrapText="1"/>
    </xf>
    <xf numFmtId="176" fontId="3" fillId="0" borderId="1" xfId="0" applyNumberFormat="1" applyFont="1" applyBorder="1" applyAlignment="1">
      <alignment horizontal="right" vertical="center" readingOrder="1"/>
    </xf>
    <xf numFmtId="0" fontId="14" fillId="0" borderId="0" xfId="0" applyFont="1" applyAlignment="1">
      <alignment horizontal="center" vertical="center"/>
    </xf>
    <xf numFmtId="0" fontId="3" fillId="0" borderId="0" xfId="0" applyFont="1" applyAlignment="1">
      <alignment vertical="center"/>
    </xf>
    <xf numFmtId="0" fontId="3" fillId="5" borderId="0" xfId="0" applyFont="1" applyFill="1" applyAlignment="1">
      <alignment vertical="center"/>
    </xf>
    <xf numFmtId="177" fontId="3" fillId="0" borderId="3" xfId="0" applyNumberFormat="1" applyFont="1" applyBorder="1" applyAlignment="1">
      <alignment horizontal="left" vertical="top" wrapText="1"/>
    </xf>
    <xf numFmtId="177" fontId="3" fillId="0" borderId="0" xfId="0" applyNumberFormat="1" applyFont="1" applyAlignment="1">
      <alignment vertical="center"/>
    </xf>
    <xf numFmtId="177" fontId="3" fillId="0" borderId="3" xfId="0" applyNumberFormat="1" applyFont="1" applyBorder="1" applyAlignment="1">
      <alignment horizontal="left" vertical="center"/>
    </xf>
    <xf numFmtId="177" fontId="3" fillId="0" borderId="5" xfId="0" applyNumberFormat="1" applyFont="1" applyBorder="1" applyAlignment="1">
      <alignment horizontal="center" vertical="center"/>
    </xf>
    <xf numFmtId="177" fontId="3" fillId="0" borderId="2" xfId="0" applyNumberFormat="1" applyFont="1"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4"/>
  <sheetViews>
    <sheetView tabSelected="1" topLeftCell="A37" workbookViewId="0">
      <selection activeCell="D58" sqref="D58"/>
    </sheetView>
  </sheetViews>
  <sheetFormatPr defaultColWidth="9" defaultRowHeight="18" customHeight="1"/>
  <cols>
    <col min="1" max="1" width="2.875" style="20" customWidth="1"/>
    <col min="2" max="2" width="28.125" style="20" customWidth="1"/>
    <col min="3" max="3" width="12.375" style="20" customWidth="1"/>
    <col min="4" max="4" width="7.5" style="20" customWidth="1"/>
    <col min="5" max="7" width="6.625" style="20" customWidth="1"/>
    <col min="8" max="8" width="8.625" style="20" customWidth="1"/>
    <col min="9" max="9" width="6.25" style="20" customWidth="1"/>
    <col min="10" max="17" width="6.625" style="20" customWidth="1"/>
    <col min="18" max="18" width="6.625" style="21" customWidth="1"/>
    <col min="19" max="22" width="6.625" style="20" customWidth="1"/>
    <col min="23" max="23" width="6.625" style="21" customWidth="1"/>
    <col min="24" max="24" width="7" style="20" customWidth="1"/>
    <col min="25" max="25" width="6.125" style="20" customWidth="1"/>
    <col min="26" max="30" width="9" style="20" customWidth="1"/>
    <col min="31" max="16384" width="9" style="20"/>
  </cols>
  <sheetData>
    <row r="1" spans="2:23" ht="27" customHeight="1">
      <c r="D1" s="60" t="str">
        <f>"天然气价格"&amp;M4&amp;N4&amp;"，"&amp;"电价"&amp;R4&amp;S4&amp;"时，内部投资收益率为："&amp;ROUND(D58*100,2)&amp;"%"</f>
        <v>天然气价格2.1元/m³，电价0.62元/kWh时，内部投资收益率为：11.07%</v>
      </c>
      <c r="E1" s="61"/>
      <c r="F1" s="61"/>
      <c r="G1" s="61"/>
      <c r="H1" s="61"/>
      <c r="I1" s="61"/>
      <c r="J1" s="61"/>
      <c r="K1" s="61"/>
      <c r="L1" s="61"/>
      <c r="M1" s="61"/>
      <c r="N1" s="61"/>
      <c r="O1" s="61"/>
      <c r="P1" s="61"/>
      <c r="Q1" s="61"/>
      <c r="R1" s="62"/>
    </row>
    <row r="2" spans="2:23" s="22" customFormat="1" ht="18" customHeight="1">
      <c r="R2" s="23"/>
      <c r="W2" s="23"/>
    </row>
    <row r="3" spans="2:23" s="22" customFormat="1" ht="18" customHeight="1">
      <c r="B3" s="63" t="s">
        <v>0</v>
      </c>
      <c r="C3" s="64"/>
      <c r="D3" s="64"/>
      <c r="E3" s="64"/>
      <c r="F3" s="64"/>
      <c r="G3" s="64"/>
      <c r="H3" s="64"/>
      <c r="I3" s="64"/>
      <c r="K3" s="65" t="s">
        <v>1</v>
      </c>
      <c r="L3" s="64"/>
      <c r="M3" s="64"/>
      <c r="N3" s="64"/>
      <c r="O3" s="64"/>
      <c r="Q3" s="65" t="s">
        <v>2</v>
      </c>
      <c r="R3" s="64"/>
      <c r="S3" s="64"/>
      <c r="T3" s="64"/>
      <c r="W3" s="23"/>
    </row>
    <row r="4" spans="2:23" s="22" customFormat="1" ht="18" customHeight="1">
      <c r="B4" s="64"/>
      <c r="C4" s="64"/>
      <c r="D4" s="64"/>
      <c r="E4" s="64"/>
      <c r="F4" s="64"/>
      <c r="G4" s="64"/>
      <c r="H4" s="64"/>
      <c r="I4" s="64"/>
      <c r="K4" s="67" t="s">
        <v>3</v>
      </c>
      <c r="L4" s="64"/>
      <c r="M4" s="25">
        <v>2.1</v>
      </c>
      <c r="N4" s="22" t="s">
        <v>4</v>
      </c>
      <c r="O4" s="26"/>
      <c r="Q4" s="24" t="s">
        <v>5</v>
      </c>
      <c r="R4" s="27">
        <v>0.62</v>
      </c>
      <c r="S4" s="22" t="s">
        <v>6</v>
      </c>
      <c r="T4" s="26"/>
      <c r="W4" s="23"/>
    </row>
    <row r="5" spans="2:23" s="22" customFormat="1" ht="18" customHeight="1">
      <c r="B5" s="64"/>
      <c r="C5" s="64"/>
      <c r="D5" s="64"/>
      <c r="E5" s="64"/>
      <c r="F5" s="64"/>
      <c r="G5" s="64"/>
      <c r="H5" s="64"/>
      <c r="I5" s="64"/>
      <c r="K5" s="67" t="s">
        <v>7</v>
      </c>
      <c r="L5" s="64"/>
      <c r="M5" s="28">
        <v>0</v>
      </c>
      <c r="N5" s="22" t="s">
        <v>8</v>
      </c>
      <c r="O5" s="29"/>
      <c r="Q5" s="30" t="s">
        <v>9</v>
      </c>
      <c r="R5" s="31">
        <v>30</v>
      </c>
      <c r="S5" s="22" t="s">
        <v>8</v>
      </c>
      <c r="T5" s="29"/>
      <c r="W5" s="23"/>
    </row>
    <row r="6" spans="2:23" s="22" customFormat="1" ht="18" customHeight="1">
      <c r="B6" s="64"/>
      <c r="C6" s="64"/>
      <c r="D6" s="64"/>
      <c r="E6" s="64"/>
      <c r="F6" s="64"/>
      <c r="G6" s="64"/>
      <c r="H6" s="64"/>
      <c r="I6" s="64"/>
      <c r="K6" s="67" t="s">
        <v>10</v>
      </c>
      <c r="L6" s="64"/>
      <c r="M6" s="25">
        <v>3.5</v>
      </c>
      <c r="N6" s="22" t="s">
        <v>8</v>
      </c>
      <c r="O6" s="29"/>
      <c r="Q6" s="24" t="s">
        <v>11</v>
      </c>
      <c r="R6" s="31">
        <v>80</v>
      </c>
      <c r="S6" s="32" t="s">
        <v>12</v>
      </c>
      <c r="T6" s="29"/>
      <c r="W6" s="23"/>
    </row>
    <row r="7" spans="2:23" s="22" customFormat="1" ht="18" customHeight="1">
      <c r="B7" s="64"/>
      <c r="C7" s="64"/>
      <c r="D7" s="64"/>
      <c r="E7" s="64"/>
      <c r="F7" s="64"/>
      <c r="G7" s="64"/>
      <c r="H7" s="64"/>
      <c r="I7" s="64"/>
      <c r="K7" s="67" t="s">
        <v>5</v>
      </c>
      <c r="L7" s="64"/>
      <c r="M7" s="25">
        <v>0</v>
      </c>
      <c r="N7" s="22" t="s">
        <v>6</v>
      </c>
      <c r="O7" s="29"/>
      <c r="Q7" s="24" t="s">
        <v>13</v>
      </c>
      <c r="R7" s="31">
        <v>45</v>
      </c>
      <c r="S7" s="33" t="s">
        <v>12</v>
      </c>
      <c r="T7" s="29"/>
      <c r="W7" s="23"/>
    </row>
    <row r="8" spans="2:23" s="22" customFormat="1" ht="18" customHeight="1">
      <c r="B8" s="64"/>
      <c r="C8" s="64"/>
      <c r="D8" s="64"/>
      <c r="E8" s="64"/>
      <c r="F8" s="64"/>
      <c r="G8" s="64"/>
      <c r="H8" s="64"/>
      <c r="I8" s="64"/>
      <c r="K8" s="24"/>
      <c r="L8" s="34"/>
      <c r="M8" s="25"/>
      <c r="O8" s="29"/>
      <c r="Q8" s="30" t="s">
        <v>14</v>
      </c>
      <c r="R8" s="31">
        <v>180</v>
      </c>
      <c r="S8" s="33" t="s">
        <v>8</v>
      </c>
      <c r="T8" s="29"/>
      <c r="W8" s="23"/>
    </row>
    <row r="9" spans="2:23" s="22" customFormat="1" ht="18" customHeight="1">
      <c r="B9" s="64"/>
      <c r="C9" s="64"/>
      <c r="D9" s="64"/>
      <c r="E9" s="64"/>
      <c r="F9" s="64"/>
      <c r="G9" s="64"/>
      <c r="H9" s="64"/>
      <c r="I9" s="64"/>
      <c r="K9" s="66" t="s">
        <v>15</v>
      </c>
      <c r="L9" s="64"/>
      <c r="M9" s="36"/>
      <c r="N9" s="37"/>
      <c r="O9" s="38"/>
      <c r="Q9" s="35" t="s">
        <v>15</v>
      </c>
      <c r="R9" s="39"/>
      <c r="S9" s="40"/>
      <c r="T9" s="38"/>
      <c r="W9" s="23"/>
    </row>
    <row r="10" spans="2:23" s="22" customFormat="1" ht="18" customHeight="1">
      <c r="R10" s="23"/>
      <c r="W10" s="23"/>
    </row>
    <row r="11" spans="2:23" s="22" customFormat="1" ht="18" customHeight="1">
      <c r="B11" s="41" t="s">
        <v>16</v>
      </c>
      <c r="C11" s="41"/>
      <c r="D11" s="42" t="s">
        <v>17</v>
      </c>
      <c r="E11" s="42" t="s">
        <v>18</v>
      </c>
      <c r="F11" s="42" t="s">
        <v>19</v>
      </c>
      <c r="G11" s="42" t="s">
        <v>20</v>
      </c>
      <c r="H11" s="42" t="s">
        <v>21</v>
      </c>
      <c r="I11" s="42" t="s">
        <v>22</v>
      </c>
      <c r="J11" s="42" t="s">
        <v>23</v>
      </c>
      <c r="K11" s="42" t="s">
        <v>24</v>
      </c>
      <c r="L11" s="42" t="s">
        <v>25</v>
      </c>
      <c r="M11" s="42" t="s">
        <v>26</v>
      </c>
      <c r="N11" s="42" t="s">
        <v>27</v>
      </c>
      <c r="O11" s="42" t="s">
        <v>28</v>
      </c>
      <c r="P11" s="42" t="s">
        <v>29</v>
      </c>
      <c r="Q11" s="42" t="s">
        <v>30</v>
      </c>
      <c r="R11" s="43" t="s">
        <v>31</v>
      </c>
      <c r="S11" s="42" t="s">
        <v>32</v>
      </c>
      <c r="T11" s="42" t="s">
        <v>33</v>
      </c>
      <c r="U11" s="42" t="s">
        <v>34</v>
      </c>
      <c r="V11" s="42" t="s">
        <v>35</v>
      </c>
      <c r="W11" s="43" t="s">
        <v>36</v>
      </c>
    </row>
    <row r="12" spans="2:23" s="22" customFormat="1" ht="18" customHeight="1">
      <c r="B12" s="44" t="s">
        <v>37</v>
      </c>
      <c r="C12" s="45"/>
      <c r="D12" s="46"/>
      <c r="E12" s="46"/>
      <c r="F12" s="46"/>
      <c r="G12" s="46"/>
      <c r="H12" s="46"/>
      <c r="I12" s="46"/>
      <c r="J12" s="46"/>
      <c r="K12" s="46"/>
      <c r="L12" s="46"/>
      <c r="M12" s="46"/>
      <c r="N12" s="46"/>
      <c r="O12" s="46"/>
      <c r="P12" s="46"/>
      <c r="Q12" s="46"/>
      <c r="R12" s="47"/>
      <c r="S12" s="46"/>
      <c r="T12" s="46"/>
      <c r="U12" s="46"/>
      <c r="V12" s="46"/>
      <c r="W12" s="47"/>
    </row>
    <row r="13" spans="2:23" s="22" customFormat="1" ht="18" customHeight="1">
      <c r="B13" s="48" t="s">
        <v>38</v>
      </c>
      <c r="C13" s="45"/>
      <c r="D13" s="45">
        <f t="shared" ref="D13:W13" si="0">5402.88*4</f>
        <v>21611.52</v>
      </c>
      <c r="E13" s="45">
        <f t="shared" si="0"/>
        <v>21611.52</v>
      </c>
      <c r="F13" s="45">
        <f t="shared" si="0"/>
        <v>21611.52</v>
      </c>
      <c r="G13" s="45">
        <f t="shared" si="0"/>
        <v>21611.52</v>
      </c>
      <c r="H13" s="45">
        <f t="shared" si="0"/>
        <v>21611.52</v>
      </c>
      <c r="I13" s="45">
        <f t="shared" si="0"/>
        <v>21611.52</v>
      </c>
      <c r="J13" s="45">
        <f t="shared" si="0"/>
        <v>21611.52</v>
      </c>
      <c r="K13" s="45">
        <f t="shared" si="0"/>
        <v>21611.52</v>
      </c>
      <c r="L13" s="45">
        <f t="shared" si="0"/>
        <v>21611.52</v>
      </c>
      <c r="M13" s="45">
        <f t="shared" si="0"/>
        <v>21611.52</v>
      </c>
      <c r="N13" s="45">
        <f t="shared" si="0"/>
        <v>21611.52</v>
      </c>
      <c r="O13" s="45">
        <f t="shared" si="0"/>
        <v>21611.52</v>
      </c>
      <c r="P13" s="45">
        <f t="shared" si="0"/>
        <v>21611.52</v>
      </c>
      <c r="Q13" s="45">
        <f t="shared" si="0"/>
        <v>21611.52</v>
      </c>
      <c r="R13" s="45">
        <f t="shared" si="0"/>
        <v>21611.52</v>
      </c>
      <c r="S13" s="45">
        <f t="shared" si="0"/>
        <v>21611.52</v>
      </c>
      <c r="T13" s="45">
        <f t="shared" si="0"/>
        <v>21611.52</v>
      </c>
      <c r="U13" s="45">
        <f t="shared" si="0"/>
        <v>21611.52</v>
      </c>
      <c r="V13" s="45">
        <f t="shared" si="0"/>
        <v>21611.52</v>
      </c>
      <c r="W13" s="45">
        <f t="shared" si="0"/>
        <v>21611.52</v>
      </c>
    </row>
    <row r="14" spans="2:23" s="22" customFormat="1" ht="18" customHeight="1">
      <c r="B14" s="48" t="s">
        <v>39</v>
      </c>
      <c r="C14" s="45"/>
      <c r="D14" s="45">
        <v>15</v>
      </c>
      <c r="E14" s="45">
        <v>15</v>
      </c>
      <c r="F14" s="45">
        <v>15</v>
      </c>
      <c r="G14" s="45">
        <v>15</v>
      </c>
      <c r="H14" s="45">
        <v>15</v>
      </c>
      <c r="I14" s="45">
        <v>15</v>
      </c>
      <c r="J14" s="45">
        <v>15</v>
      </c>
      <c r="K14" s="45">
        <v>15</v>
      </c>
      <c r="L14" s="45">
        <v>15</v>
      </c>
      <c r="M14" s="45">
        <v>15</v>
      </c>
      <c r="N14" s="45">
        <v>15</v>
      </c>
      <c r="O14" s="45">
        <v>15</v>
      </c>
      <c r="P14" s="45">
        <v>15</v>
      </c>
      <c r="Q14" s="45">
        <v>15</v>
      </c>
      <c r="R14" s="45">
        <v>15</v>
      </c>
      <c r="S14" s="45">
        <v>15</v>
      </c>
      <c r="T14" s="45">
        <v>15</v>
      </c>
      <c r="U14" s="45">
        <v>15</v>
      </c>
      <c r="V14" s="45">
        <v>15</v>
      </c>
      <c r="W14" s="45">
        <v>15</v>
      </c>
    </row>
    <row r="15" spans="2:23" s="22" customFormat="1" ht="18" customHeight="1">
      <c r="B15" s="48" t="s">
        <v>40</v>
      </c>
      <c r="C15" s="45"/>
      <c r="D15" s="49">
        <v>6</v>
      </c>
      <c r="E15" s="49">
        <v>6</v>
      </c>
      <c r="F15" s="49">
        <v>6</v>
      </c>
      <c r="G15" s="49">
        <v>6</v>
      </c>
      <c r="H15" s="49">
        <v>6</v>
      </c>
      <c r="I15" s="49">
        <v>6</v>
      </c>
      <c r="J15" s="49">
        <v>6</v>
      </c>
      <c r="K15" s="49">
        <v>6</v>
      </c>
      <c r="L15" s="49">
        <v>6</v>
      </c>
      <c r="M15" s="49">
        <v>6</v>
      </c>
      <c r="N15" s="49">
        <v>6</v>
      </c>
      <c r="O15" s="49">
        <v>6</v>
      </c>
      <c r="P15" s="49">
        <v>6</v>
      </c>
      <c r="Q15" s="49">
        <v>6</v>
      </c>
      <c r="R15" s="49">
        <v>6</v>
      </c>
      <c r="S15" s="49">
        <v>6</v>
      </c>
      <c r="T15" s="49">
        <v>6</v>
      </c>
      <c r="U15" s="49">
        <v>6</v>
      </c>
      <c r="V15" s="49">
        <v>6</v>
      </c>
      <c r="W15" s="49">
        <v>6</v>
      </c>
    </row>
    <row r="16" spans="2:23" s="22" customFormat="1" ht="18" customHeight="1">
      <c r="B16" s="48" t="s">
        <v>41</v>
      </c>
      <c r="C16" s="45"/>
      <c r="D16" s="45">
        <v>68.2</v>
      </c>
      <c r="E16" s="45">
        <v>68.2</v>
      </c>
      <c r="F16" s="45">
        <v>68.2</v>
      </c>
      <c r="G16" s="45">
        <v>68.2</v>
      </c>
      <c r="H16" s="45">
        <v>68.2</v>
      </c>
      <c r="I16" s="45">
        <v>68.2</v>
      </c>
      <c r="J16" s="45">
        <v>68.2</v>
      </c>
      <c r="K16" s="45">
        <v>68.2</v>
      </c>
      <c r="L16" s="45">
        <v>68.2</v>
      </c>
      <c r="M16" s="45">
        <v>68.2</v>
      </c>
      <c r="N16" s="45">
        <v>68.2</v>
      </c>
      <c r="O16" s="45">
        <v>68.2</v>
      </c>
      <c r="P16" s="45">
        <v>68.2</v>
      </c>
      <c r="Q16" s="45">
        <v>68.2</v>
      </c>
      <c r="R16" s="45">
        <v>68.2</v>
      </c>
      <c r="S16" s="45">
        <v>68.2</v>
      </c>
      <c r="T16" s="45">
        <v>68.2</v>
      </c>
      <c r="U16" s="45">
        <v>68.2</v>
      </c>
      <c r="V16" s="45">
        <v>68.2</v>
      </c>
      <c r="W16" s="45">
        <v>68.2</v>
      </c>
    </row>
    <row r="17" spans="2:23" s="22" customFormat="1" ht="18" customHeight="1">
      <c r="B17" s="48" t="s">
        <v>42</v>
      </c>
      <c r="C17" s="45"/>
      <c r="D17" s="45">
        <v>1</v>
      </c>
      <c r="E17" s="45">
        <v>0</v>
      </c>
      <c r="F17" s="45">
        <v>0</v>
      </c>
      <c r="G17" s="45">
        <v>0</v>
      </c>
      <c r="H17" s="45">
        <v>0</v>
      </c>
      <c r="I17" s="45">
        <v>0</v>
      </c>
      <c r="J17" s="45">
        <v>0</v>
      </c>
      <c r="K17" s="45">
        <v>0</v>
      </c>
      <c r="L17" s="45">
        <v>0</v>
      </c>
      <c r="M17" s="45">
        <v>0</v>
      </c>
      <c r="N17" s="45">
        <v>0</v>
      </c>
      <c r="O17" s="45">
        <v>0</v>
      </c>
      <c r="P17" s="45">
        <v>0</v>
      </c>
      <c r="Q17" s="45">
        <v>0</v>
      </c>
      <c r="R17" s="45">
        <v>0</v>
      </c>
      <c r="S17" s="45">
        <v>0</v>
      </c>
      <c r="T17" s="45">
        <v>0</v>
      </c>
      <c r="U17" s="45">
        <v>0</v>
      </c>
      <c r="V17" s="45">
        <v>0</v>
      </c>
      <c r="W17" s="45">
        <v>0</v>
      </c>
    </row>
    <row r="18" spans="2:23" s="22" customFormat="1" ht="18" customHeight="1">
      <c r="B18" s="48" t="s">
        <v>15</v>
      </c>
      <c r="C18" s="45"/>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0</v>
      </c>
      <c r="V18" s="45">
        <v>0</v>
      </c>
      <c r="W18" s="45">
        <v>0</v>
      </c>
    </row>
    <row r="19" spans="2:23" s="22" customFormat="1" ht="18" customHeight="1">
      <c r="B19" s="41" t="s">
        <v>43</v>
      </c>
      <c r="C19" s="50">
        <v>0.17</v>
      </c>
      <c r="D19" s="46">
        <f t="shared" ref="D19:W19" si="1">D13*$R$4/1.17</f>
        <v>11452.258461538462</v>
      </c>
      <c r="E19" s="46">
        <f t="shared" si="1"/>
        <v>11452.258461538462</v>
      </c>
      <c r="F19" s="46">
        <f t="shared" si="1"/>
        <v>11452.258461538462</v>
      </c>
      <c r="G19" s="46">
        <f t="shared" si="1"/>
        <v>11452.258461538462</v>
      </c>
      <c r="H19" s="46">
        <f t="shared" si="1"/>
        <v>11452.258461538462</v>
      </c>
      <c r="I19" s="46">
        <f t="shared" si="1"/>
        <v>11452.258461538462</v>
      </c>
      <c r="J19" s="46">
        <f t="shared" si="1"/>
        <v>11452.258461538462</v>
      </c>
      <c r="K19" s="46">
        <f t="shared" si="1"/>
        <v>11452.258461538462</v>
      </c>
      <c r="L19" s="46">
        <f t="shared" si="1"/>
        <v>11452.258461538462</v>
      </c>
      <c r="M19" s="46">
        <f t="shared" si="1"/>
        <v>11452.258461538462</v>
      </c>
      <c r="N19" s="46">
        <f t="shared" si="1"/>
        <v>11452.258461538462</v>
      </c>
      <c r="O19" s="46">
        <f t="shared" si="1"/>
        <v>11452.258461538462</v>
      </c>
      <c r="P19" s="46">
        <f t="shared" si="1"/>
        <v>11452.258461538462</v>
      </c>
      <c r="Q19" s="46">
        <f t="shared" si="1"/>
        <v>11452.258461538462</v>
      </c>
      <c r="R19" s="47">
        <f t="shared" si="1"/>
        <v>11452.258461538462</v>
      </c>
      <c r="S19" s="46">
        <f t="shared" si="1"/>
        <v>11452.258461538462</v>
      </c>
      <c r="T19" s="46">
        <f t="shared" si="1"/>
        <v>11452.258461538462</v>
      </c>
      <c r="U19" s="46">
        <f t="shared" si="1"/>
        <v>11452.258461538462</v>
      </c>
      <c r="V19" s="46">
        <f t="shared" si="1"/>
        <v>11452.258461538462</v>
      </c>
      <c r="W19" s="47">
        <f t="shared" si="1"/>
        <v>11452.258461538462</v>
      </c>
    </row>
    <row r="20" spans="2:23" s="22" customFormat="1" ht="18" customHeight="1">
      <c r="B20" s="51" t="s">
        <v>44</v>
      </c>
      <c r="C20" s="50">
        <v>0.11</v>
      </c>
      <c r="D20" s="46">
        <f t="shared" ref="D20:W20" si="2">D14*$R$5/1.11</f>
        <v>405.40540540540536</v>
      </c>
      <c r="E20" s="46">
        <f t="shared" si="2"/>
        <v>405.40540540540536</v>
      </c>
      <c r="F20" s="46">
        <f t="shared" si="2"/>
        <v>405.40540540540536</v>
      </c>
      <c r="G20" s="46">
        <f t="shared" si="2"/>
        <v>405.40540540540536</v>
      </c>
      <c r="H20" s="46">
        <f t="shared" si="2"/>
        <v>405.40540540540536</v>
      </c>
      <c r="I20" s="46">
        <f t="shared" si="2"/>
        <v>405.40540540540536</v>
      </c>
      <c r="J20" s="46">
        <f t="shared" si="2"/>
        <v>405.40540540540536</v>
      </c>
      <c r="K20" s="46">
        <f t="shared" si="2"/>
        <v>405.40540540540536</v>
      </c>
      <c r="L20" s="46">
        <f t="shared" si="2"/>
        <v>405.40540540540536</v>
      </c>
      <c r="M20" s="46">
        <f t="shared" si="2"/>
        <v>405.40540540540536</v>
      </c>
      <c r="N20" s="46">
        <f t="shared" si="2"/>
        <v>405.40540540540536</v>
      </c>
      <c r="O20" s="46">
        <f t="shared" si="2"/>
        <v>405.40540540540536</v>
      </c>
      <c r="P20" s="46">
        <f t="shared" si="2"/>
        <v>405.40540540540536</v>
      </c>
      <c r="Q20" s="46">
        <f t="shared" si="2"/>
        <v>405.40540540540536</v>
      </c>
      <c r="R20" s="46">
        <f t="shared" si="2"/>
        <v>405.40540540540536</v>
      </c>
      <c r="S20" s="46">
        <f t="shared" si="2"/>
        <v>405.40540540540536</v>
      </c>
      <c r="T20" s="46">
        <f t="shared" si="2"/>
        <v>405.40540540540536</v>
      </c>
      <c r="U20" s="46">
        <f t="shared" si="2"/>
        <v>405.40540540540536</v>
      </c>
      <c r="V20" s="46">
        <f t="shared" si="2"/>
        <v>405.40540540540536</v>
      </c>
      <c r="W20" s="47">
        <f t="shared" si="2"/>
        <v>405.40540540540536</v>
      </c>
    </row>
    <row r="21" spans="2:23" s="22" customFormat="1" ht="18" customHeight="1">
      <c r="B21" s="41" t="s">
        <v>45</v>
      </c>
      <c r="C21" s="50">
        <v>0.11</v>
      </c>
      <c r="D21" s="46">
        <f t="shared" ref="D21:W21" si="3">D15*$R$6/1.11</f>
        <v>432.43243243243239</v>
      </c>
      <c r="E21" s="46">
        <f t="shared" si="3"/>
        <v>432.43243243243239</v>
      </c>
      <c r="F21" s="46">
        <f t="shared" si="3"/>
        <v>432.43243243243239</v>
      </c>
      <c r="G21" s="46">
        <f t="shared" si="3"/>
        <v>432.43243243243239</v>
      </c>
      <c r="H21" s="46">
        <f t="shared" si="3"/>
        <v>432.43243243243239</v>
      </c>
      <c r="I21" s="46">
        <f t="shared" si="3"/>
        <v>432.43243243243239</v>
      </c>
      <c r="J21" s="46">
        <f t="shared" si="3"/>
        <v>432.43243243243239</v>
      </c>
      <c r="K21" s="46">
        <f t="shared" si="3"/>
        <v>432.43243243243239</v>
      </c>
      <c r="L21" s="46">
        <f t="shared" si="3"/>
        <v>432.43243243243239</v>
      </c>
      <c r="M21" s="46">
        <f t="shared" si="3"/>
        <v>432.43243243243239</v>
      </c>
      <c r="N21" s="46">
        <f t="shared" si="3"/>
        <v>432.43243243243239</v>
      </c>
      <c r="O21" s="46">
        <f t="shared" si="3"/>
        <v>432.43243243243239</v>
      </c>
      <c r="P21" s="46">
        <f t="shared" si="3"/>
        <v>432.43243243243239</v>
      </c>
      <c r="Q21" s="46">
        <f t="shared" si="3"/>
        <v>432.43243243243239</v>
      </c>
      <c r="R21" s="46">
        <f t="shared" si="3"/>
        <v>432.43243243243239</v>
      </c>
      <c r="S21" s="46">
        <f t="shared" si="3"/>
        <v>432.43243243243239</v>
      </c>
      <c r="T21" s="46">
        <f t="shared" si="3"/>
        <v>432.43243243243239</v>
      </c>
      <c r="U21" s="46">
        <f t="shared" si="3"/>
        <v>432.43243243243239</v>
      </c>
      <c r="V21" s="46">
        <f t="shared" si="3"/>
        <v>432.43243243243239</v>
      </c>
      <c r="W21" s="47">
        <f t="shared" si="3"/>
        <v>432.43243243243239</v>
      </c>
    </row>
    <row r="22" spans="2:23" s="22" customFormat="1" ht="18" customHeight="1">
      <c r="B22" s="41" t="s">
        <v>46</v>
      </c>
      <c r="C22" s="50">
        <v>0.11</v>
      </c>
      <c r="D22" s="46">
        <f t="shared" ref="D22:W22" si="4">D16*$R$7/1.11</f>
        <v>2764.8648648648646</v>
      </c>
      <c r="E22" s="46">
        <f t="shared" si="4"/>
        <v>2764.8648648648646</v>
      </c>
      <c r="F22" s="46">
        <f t="shared" si="4"/>
        <v>2764.8648648648646</v>
      </c>
      <c r="G22" s="46">
        <f t="shared" si="4"/>
        <v>2764.8648648648646</v>
      </c>
      <c r="H22" s="46">
        <f t="shared" si="4"/>
        <v>2764.8648648648646</v>
      </c>
      <c r="I22" s="46">
        <f t="shared" si="4"/>
        <v>2764.8648648648646</v>
      </c>
      <c r="J22" s="46">
        <f t="shared" si="4"/>
        <v>2764.8648648648646</v>
      </c>
      <c r="K22" s="46">
        <f t="shared" si="4"/>
        <v>2764.8648648648646</v>
      </c>
      <c r="L22" s="46">
        <f t="shared" si="4"/>
        <v>2764.8648648648646</v>
      </c>
      <c r="M22" s="46">
        <f t="shared" si="4"/>
        <v>2764.8648648648646</v>
      </c>
      <c r="N22" s="46">
        <f t="shared" si="4"/>
        <v>2764.8648648648646</v>
      </c>
      <c r="O22" s="46">
        <f t="shared" si="4"/>
        <v>2764.8648648648646</v>
      </c>
      <c r="P22" s="46">
        <f t="shared" si="4"/>
        <v>2764.8648648648646</v>
      </c>
      <c r="Q22" s="46">
        <f t="shared" si="4"/>
        <v>2764.8648648648646</v>
      </c>
      <c r="R22" s="46">
        <f t="shared" si="4"/>
        <v>2764.8648648648646</v>
      </c>
      <c r="S22" s="46">
        <f t="shared" si="4"/>
        <v>2764.8648648648646</v>
      </c>
      <c r="T22" s="46">
        <f t="shared" si="4"/>
        <v>2764.8648648648646</v>
      </c>
      <c r="U22" s="46">
        <f t="shared" si="4"/>
        <v>2764.8648648648646</v>
      </c>
      <c r="V22" s="46">
        <f t="shared" si="4"/>
        <v>2764.8648648648646</v>
      </c>
      <c r="W22" s="47">
        <f t="shared" si="4"/>
        <v>2764.8648648648646</v>
      </c>
    </row>
    <row r="23" spans="2:23" s="22" customFormat="1" ht="18" customHeight="1">
      <c r="B23" s="41" t="s">
        <v>47</v>
      </c>
      <c r="C23" s="50">
        <v>0.11</v>
      </c>
      <c r="D23" s="46">
        <f t="shared" ref="D23:W23" si="5">D17*$R$8/1.11</f>
        <v>162.16216216216216</v>
      </c>
      <c r="E23" s="46">
        <f t="shared" si="5"/>
        <v>0</v>
      </c>
      <c r="F23" s="46">
        <f t="shared" si="5"/>
        <v>0</v>
      </c>
      <c r="G23" s="46">
        <f t="shared" si="5"/>
        <v>0</v>
      </c>
      <c r="H23" s="46">
        <f t="shared" si="5"/>
        <v>0</v>
      </c>
      <c r="I23" s="46">
        <f t="shared" si="5"/>
        <v>0</v>
      </c>
      <c r="J23" s="46">
        <f t="shared" si="5"/>
        <v>0</v>
      </c>
      <c r="K23" s="46">
        <f t="shared" si="5"/>
        <v>0</v>
      </c>
      <c r="L23" s="46">
        <f t="shared" si="5"/>
        <v>0</v>
      </c>
      <c r="M23" s="46">
        <f t="shared" si="5"/>
        <v>0</v>
      </c>
      <c r="N23" s="46">
        <f t="shared" si="5"/>
        <v>0</v>
      </c>
      <c r="O23" s="46">
        <f t="shared" si="5"/>
        <v>0</v>
      </c>
      <c r="P23" s="46">
        <f t="shared" si="5"/>
        <v>0</v>
      </c>
      <c r="Q23" s="46">
        <f t="shared" si="5"/>
        <v>0</v>
      </c>
      <c r="R23" s="46">
        <f t="shared" si="5"/>
        <v>0</v>
      </c>
      <c r="S23" s="46">
        <f t="shared" si="5"/>
        <v>0</v>
      </c>
      <c r="T23" s="46">
        <f t="shared" si="5"/>
        <v>0</v>
      </c>
      <c r="U23" s="46">
        <f t="shared" si="5"/>
        <v>0</v>
      </c>
      <c r="V23" s="46">
        <f t="shared" si="5"/>
        <v>0</v>
      </c>
      <c r="W23" s="46">
        <f t="shared" si="5"/>
        <v>0</v>
      </c>
    </row>
    <row r="24" spans="2:23" s="22" customFormat="1" ht="18" customHeight="1">
      <c r="B24" s="48" t="s">
        <v>48</v>
      </c>
      <c r="C24" s="50"/>
      <c r="D24" s="45">
        <f t="shared" ref="D24:M24" si="6">6720*4*100/20/10000*2</f>
        <v>26.88</v>
      </c>
      <c r="E24" s="45">
        <f t="shared" si="6"/>
        <v>26.88</v>
      </c>
      <c r="F24" s="45">
        <f t="shared" si="6"/>
        <v>26.88</v>
      </c>
      <c r="G24" s="45">
        <f t="shared" si="6"/>
        <v>26.88</v>
      </c>
      <c r="H24" s="45">
        <f t="shared" si="6"/>
        <v>26.88</v>
      </c>
      <c r="I24" s="45">
        <f t="shared" si="6"/>
        <v>26.88</v>
      </c>
      <c r="J24" s="45">
        <f t="shared" si="6"/>
        <v>26.88</v>
      </c>
      <c r="K24" s="45">
        <f t="shared" si="6"/>
        <v>26.88</v>
      </c>
      <c r="L24" s="45">
        <f t="shared" si="6"/>
        <v>26.88</v>
      </c>
      <c r="M24" s="45">
        <f t="shared" si="6"/>
        <v>26.88</v>
      </c>
      <c r="N24" s="45">
        <v>0</v>
      </c>
      <c r="O24" s="45">
        <v>0</v>
      </c>
      <c r="P24" s="45">
        <v>0</v>
      </c>
      <c r="Q24" s="45">
        <v>0</v>
      </c>
      <c r="R24" s="45">
        <v>0</v>
      </c>
      <c r="S24" s="45">
        <v>0</v>
      </c>
      <c r="T24" s="45">
        <v>0</v>
      </c>
      <c r="U24" s="45">
        <v>0</v>
      </c>
      <c r="V24" s="45">
        <v>0</v>
      </c>
      <c r="W24" s="45">
        <v>0</v>
      </c>
    </row>
    <row r="25" spans="2:23" s="22" customFormat="1" ht="18" customHeight="1">
      <c r="B25" s="44" t="s">
        <v>49</v>
      </c>
      <c r="C25" s="45"/>
      <c r="D25" s="46"/>
      <c r="E25" s="46"/>
      <c r="F25" s="46"/>
      <c r="G25" s="46"/>
      <c r="H25" s="46"/>
      <c r="I25" s="46"/>
      <c r="J25" s="46"/>
      <c r="K25" s="46"/>
      <c r="L25" s="46"/>
      <c r="M25" s="46"/>
      <c r="N25" s="46"/>
      <c r="O25" s="46"/>
      <c r="P25" s="46"/>
      <c r="Q25" s="46"/>
      <c r="R25" s="47"/>
      <c r="S25" s="46"/>
      <c r="T25" s="46"/>
      <c r="U25" s="46"/>
      <c r="V25" s="46"/>
      <c r="W25" s="47"/>
    </row>
    <row r="26" spans="2:23" s="22" customFormat="1" ht="18" customHeight="1">
      <c r="B26" s="48" t="s">
        <v>50</v>
      </c>
      <c r="C26" s="45"/>
      <c r="D26" s="45">
        <v>5192</v>
      </c>
      <c r="E26" s="45">
        <v>5062</v>
      </c>
      <c r="F26" s="45">
        <v>5062</v>
      </c>
      <c r="G26" s="45">
        <v>5062</v>
      </c>
      <c r="H26" s="45">
        <v>5062</v>
      </c>
      <c r="I26" s="45">
        <v>5062</v>
      </c>
      <c r="J26" s="45">
        <v>5062</v>
      </c>
      <c r="K26" s="45">
        <v>5062</v>
      </c>
      <c r="L26" s="45">
        <v>5062</v>
      </c>
      <c r="M26" s="45">
        <v>5062</v>
      </c>
      <c r="N26" s="45">
        <v>5062</v>
      </c>
      <c r="O26" s="45">
        <v>5062</v>
      </c>
      <c r="P26" s="45">
        <v>5062</v>
      </c>
      <c r="Q26" s="45">
        <v>5062</v>
      </c>
      <c r="R26" s="45">
        <v>5062</v>
      </c>
      <c r="S26" s="45">
        <v>5062</v>
      </c>
      <c r="T26" s="45">
        <v>5062</v>
      </c>
      <c r="U26" s="45">
        <v>5062</v>
      </c>
      <c r="V26" s="45">
        <v>5062</v>
      </c>
      <c r="W26" s="45">
        <v>5062</v>
      </c>
    </row>
    <row r="27" spans="2:23" s="22" customFormat="1" ht="18" customHeight="1">
      <c r="B27" s="48" t="s">
        <v>51</v>
      </c>
      <c r="C27" s="45"/>
      <c r="D27" s="45">
        <v>0</v>
      </c>
      <c r="E27" s="45">
        <v>0</v>
      </c>
      <c r="F27" s="45">
        <v>0</v>
      </c>
      <c r="G27" s="45">
        <v>0</v>
      </c>
      <c r="H27" s="45">
        <v>0</v>
      </c>
      <c r="I27" s="45">
        <v>0</v>
      </c>
      <c r="J27" s="45">
        <v>0</v>
      </c>
      <c r="K27" s="45">
        <v>0</v>
      </c>
      <c r="L27" s="45">
        <v>0</v>
      </c>
      <c r="M27" s="45">
        <v>0</v>
      </c>
      <c r="N27" s="45">
        <v>0</v>
      </c>
      <c r="O27" s="45">
        <v>0</v>
      </c>
      <c r="P27" s="45">
        <v>0</v>
      </c>
      <c r="Q27" s="45">
        <v>0</v>
      </c>
      <c r="R27" s="52">
        <v>0</v>
      </c>
      <c r="S27" s="45">
        <v>0</v>
      </c>
      <c r="T27" s="45">
        <v>0</v>
      </c>
      <c r="U27" s="45">
        <v>0</v>
      </c>
      <c r="V27" s="45">
        <v>0</v>
      </c>
      <c r="W27" s="47">
        <v>0</v>
      </c>
    </row>
    <row r="28" spans="2:23" s="22" customFormat="1" ht="18" customHeight="1">
      <c r="B28" s="48" t="s">
        <v>52</v>
      </c>
      <c r="C28" s="45"/>
      <c r="D28" s="45">
        <f t="shared" ref="D28:W28" si="7">D13*0.03</f>
        <v>648.34559999999999</v>
      </c>
      <c r="E28" s="45">
        <f t="shared" si="7"/>
        <v>648.34559999999999</v>
      </c>
      <c r="F28" s="45">
        <f t="shared" si="7"/>
        <v>648.34559999999999</v>
      </c>
      <c r="G28" s="45">
        <f t="shared" si="7"/>
        <v>648.34559999999999</v>
      </c>
      <c r="H28" s="45">
        <f t="shared" si="7"/>
        <v>648.34559999999999</v>
      </c>
      <c r="I28" s="45">
        <f t="shared" si="7"/>
        <v>648.34559999999999</v>
      </c>
      <c r="J28" s="45">
        <f t="shared" si="7"/>
        <v>648.34559999999999</v>
      </c>
      <c r="K28" s="45">
        <f t="shared" si="7"/>
        <v>648.34559999999999</v>
      </c>
      <c r="L28" s="45">
        <f t="shared" si="7"/>
        <v>648.34559999999999</v>
      </c>
      <c r="M28" s="45">
        <f t="shared" si="7"/>
        <v>648.34559999999999</v>
      </c>
      <c r="N28" s="45">
        <f t="shared" si="7"/>
        <v>648.34559999999999</v>
      </c>
      <c r="O28" s="45">
        <f t="shared" si="7"/>
        <v>648.34559999999999</v>
      </c>
      <c r="P28" s="45">
        <f t="shared" si="7"/>
        <v>648.34559999999999</v>
      </c>
      <c r="Q28" s="45">
        <f t="shared" si="7"/>
        <v>648.34559999999999</v>
      </c>
      <c r="R28" s="45">
        <f t="shared" si="7"/>
        <v>648.34559999999999</v>
      </c>
      <c r="S28" s="45">
        <f t="shared" si="7"/>
        <v>648.34559999999999</v>
      </c>
      <c r="T28" s="45">
        <f t="shared" si="7"/>
        <v>648.34559999999999</v>
      </c>
      <c r="U28" s="45">
        <f t="shared" si="7"/>
        <v>648.34559999999999</v>
      </c>
      <c r="V28" s="45">
        <f t="shared" si="7"/>
        <v>648.34559999999999</v>
      </c>
      <c r="W28" s="45">
        <f t="shared" si="7"/>
        <v>648.34559999999999</v>
      </c>
    </row>
    <row r="29" spans="2:23" s="22" customFormat="1" ht="18" customHeight="1">
      <c r="B29" s="53" t="s">
        <v>53</v>
      </c>
      <c r="C29" s="45"/>
      <c r="D29" s="45">
        <v>5</v>
      </c>
      <c r="E29" s="45">
        <v>5</v>
      </c>
      <c r="F29" s="45">
        <v>5</v>
      </c>
      <c r="G29" s="45">
        <v>5</v>
      </c>
      <c r="H29" s="45">
        <v>5</v>
      </c>
      <c r="I29" s="45">
        <v>5</v>
      </c>
      <c r="J29" s="45">
        <v>5</v>
      </c>
      <c r="K29" s="45">
        <v>5</v>
      </c>
      <c r="L29" s="45">
        <v>5</v>
      </c>
      <c r="M29" s="45">
        <v>5</v>
      </c>
      <c r="N29" s="45">
        <v>5</v>
      </c>
      <c r="O29" s="45">
        <v>5</v>
      </c>
      <c r="P29" s="45">
        <v>5</v>
      </c>
      <c r="Q29" s="45">
        <v>5</v>
      </c>
      <c r="R29" s="45">
        <v>5</v>
      </c>
      <c r="S29" s="45">
        <v>5</v>
      </c>
      <c r="T29" s="45">
        <v>5</v>
      </c>
      <c r="U29" s="45">
        <v>5</v>
      </c>
      <c r="V29" s="45">
        <v>5</v>
      </c>
      <c r="W29" s="45">
        <v>5</v>
      </c>
    </row>
    <row r="30" spans="2:23" s="22" customFormat="1" ht="18" customHeight="1">
      <c r="B30" s="41" t="s">
        <v>54</v>
      </c>
      <c r="C30" s="50">
        <v>0.13</v>
      </c>
      <c r="D30" s="46">
        <f t="shared" ref="D30:W30" si="8">D26*$M$4/1.13</f>
        <v>9648.8495575221259</v>
      </c>
      <c r="E30" s="46">
        <f t="shared" si="8"/>
        <v>9407.2566371681423</v>
      </c>
      <c r="F30" s="46">
        <f t="shared" si="8"/>
        <v>9407.2566371681423</v>
      </c>
      <c r="G30" s="46">
        <f t="shared" si="8"/>
        <v>9407.2566371681423</v>
      </c>
      <c r="H30" s="46">
        <f t="shared" si="8"/>
        <v>9407.2566371681423</v>
      </c>
      <c r="I30" s="46">
        <f t="shared" si="8"/>
        <v>9407.2566371681423</v>
      </c>
      <c r="J30" s="46">
        <f t="shared" si="8"/>
        <v>9407.2566371681423</v>
      </c>
      <c r="K30" s="46">
        <f t="shared" si="8"/>
        <v>9407.2566371681423</v>
      </c>
      <c r="L30" s="46">
        <f t="shared" si="8"/>
        <v>9407.2566371681423</v>
      </c>
      <c r="M30" s="46">
        <f t="shared" si="8"/>
        <v>9407.2566371681423</v>
      </c>
      <c r="N30" s="46">
        <f t="shared" si="8"/>
        <v>9407.2566371681423</v>
      </c>
      <c r="O30" s="46">
        <f t="shared" si="8"/>
        <v>9407.2566371681423</v>
      </c>
      <c r="P30" s="46">
        <f t="shared" si="8"/>
        <v>9407.2566371681423</v>
      </c>
      <c r="Q30" s="46">
        <f t="shared" si="8"/>
        <v>9407.2566371681423</v>
      </c>
      <c r="R30" s="47">
        <f t="shared" si="8"/>
        <v>9407.2566371681423</v>
      </c>
      <c r="S30" s="46">
        <f t="shared" si="8"/>
        <v>9407.2566371681423</v>
      </c>
      <c r="T30" s="46">
        <f t="shared" si="8"/>
        <v>9407.2566371681423</v>
      </c>
      <c r="U30" s="46">
        <f t="shared" si="8"/>
        <v>9407.2566371681423</v>
      </c>
      <c r="V30" s="46">
        <f t="shared" si="8"/>
        <v>9407.2566371681423</v>
      </c>
      <c r="W30" s="47">
        <f t="shared" si="8"/>
        <v>9407.2566371681423</v>
      </c>
    </row>
    <row r="31" spans="2:23" s="22" customFormat="1" ht="18" customHeight="1">
      <c r="B31" s="41" t="s">
        <v>55</v>
      </c>
      <c r="C31" s="50">
        <v>0.13</v>
      </c>
      <c r="D31" s="46">
        <f t="shared" ref="D31:W31" si="9">D27*$M$5/1.13</f>
        <v>0</v>
      </c>
      <c r="E31" s="46">
        <f t="shared" si="9"/>
        <v>0</v>
      </c>
      <c r="F31" s="46">
        <f t="shared" si="9"/>
        <v>0</v>
      </c>
      <c r="G31" s="46">
        <f t="shared" si="9"/>
        <v>0</v>
      </c>
      <c r="H31" s="46">
        <f t="shared" si="9"/>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7">
        <f t="shared" si="9"/>
        <v>0</v>
      </c>
      <c r="S31" s="46">
        <f t="shared" si="9"/>
        <v>0</v>
      </c>
      <c r="T31" s="46">
        <f t="shared" si="9"/>
        <v>0</v>
      </c>
      <c r="U31" s="46">
        <f t="shared" si="9"/>
        <v>0</v>
      </c>
      <c r="V31" s="46">
        <f t="shared" si="9"/>
        <v>0</v>
      </c>
      <c r="W31" s="47">
        <f t="shared" si="9"/>
        <v>0</v>
      </c>
    </row>
    <row r="32" spans="2:23" s="22" customFormat="1" ht="18" customHeight="1">
      <c r="B32" s="41" t="s">
        <v>56</v>
      </c>
      <c r="C32" s="50">
        <v>0.17</v>
      </c>
      <c r="D32" s="46">
        <f t="shared" ref="D32:W32" si="10">D28*$M$7/1.17</f>
        <v>0</v>
      </c>
      <c r="E32" s="46">
        <f t="shared" si="10"/>
        <v>0</v>
      </c>
      <c r="F32" s="46">
        <f t="shared" si="10"/>
        <v>0</v>
      </c>
      <c r="G32" s="46">
        <f t="shared" si="10"/>
        <v>0</v>
      </c>
      <c r="H32" s="46">
        <f t="shared" si="10"/>
        <v>0</v>
      </c>
      <c r="I32" s="46">
        <f t="shared" si="10"/>
        <v>0</v>
      </c>
      <c r="J32" s="46">
        <f t="shared" si="10"/>
        <v>0</v>
      </c>
      <c r="K32" s="46">
        <f t="shared" si="10"/>
        <v>0</v>
      </c>
      <c r="L32" s="46">
        <f t="shared" si="10"/>
        <v>0</v>
      </c>
      <c r="M32" s="46">
        <f t="shared" si="10"/>
        <v>0</v>
      </c>
      <c r="N32" s="46">
        <f t="shared" si="10"/>
        <v>0</v>
      </c>
      <c r="O32" s="46">
        <f t="shared" si="10"/>
        <v>0</v>
      </c>
      <c r="P32" s="46">
        <f t="shared" si="10"/>
        <v>0</v>
      </c>
      <c r="Q32" s="46">
        <f t="shared" si="10"/>
        <v>0</v>
      </c>
      <c r="R32" s="47">
        <f t="shared" si="10"/>
        <v>0</v>
      </c>
      <c r="S32" s="46">
        <f t="shared" si="10"/>
        <v>0</v>
      </c>
      <c r="T32" s="46">
        <f t="shared" si="10"/>
        <v>0</v>
      </c>
      <c r="U32" s="46">
        <f t="shared" si="10"/>
        <v>0</v>
      </c>
      <c r="V32" s="46">
        <f t="shared" si="10"/>
        <v>0</v>
      </c>
      <c r="W32" s="47">
        <f t="shared" si="10"/>
        <v>0</v>
      </c>
    </row>
    <row r="33" spans="2:25" s="22" customFormat="1" ht="18" customHeight="1">
      <c r="B33" s="54" t="s">
        <v>57</v>
      </c>
      <c r="C33" s="50">
        <v>0.13</v>
      </c>
      <c r="D33" s="46">
        <f t="shared" ref="D33:W33" si="11">D29*$M$6/1.13</f>
        <v>15.486725663716816</v>
      </c>
      <c r="E33" s="46">
        <f t="shared" si="11"/>
        <v>15.486725663716816</v>
      </c>
      <c r="F33" s="46">
        <f t="shared" si="11"/>
        <v>15.486725663716816</v>
      </c>
      <c r="G33" s="46">
        <f t="shared" si="11"/>
        <v>15.486725663716816</v>
      </c>
      <c r="H33" s="46">
        <f t="shared" si="11"/>
        <v>15.486725663716816</v>
      </c>
      <c r="I33" s="46">
        <f t="shared" si="11"/>
        <v>15.486725663716816</v>
      </c>
      <c r="J33" s="46">
        <f t="shared" si="11"/>
        <v>15.486725663716816</v>
      </c>
      <c r="K33" s="46">
        <f t="shared" si="11"/>
        <v>15.486725663716816</v>
      </c>
      <c r="L33" s="46">
        <f t="shared" si="11"/>
        <v>15.486725663716816</v>
      </c>
      <c r="M33" s="46">
        <f t="shared" si="11"/>
        <v>15.486725663716816</v>
      </c>
      <c r="N33" s="46">
        <f t="shared" si="11"/>
        <v>15.486725663716816</v>
      </c>
      <c r="O33" s="46">
        <f t="shared" si="11"/>
        <v>15.486725663716816</v>
      </c>
      <c r="P33" s="46">
        <f t="shared" si="11"/>
        <v>15.486725663716816</v>
      </c>
      <c r="Q33" s="46">
        <f t="shared" si="11"/>
        <v>15.486725663716816</v>
      </c>
      <c r="R33" s="46">
        <f t="shared" si="11"/>
        <v>15.486725663716816</v>
      </c>
      <c r="S33" s="46">
        <f t="shared" si="11"/>
        <v>15.486725663716816</v>
      </c>
      <c r="T33" s="46">
        <f t="shared" si="11"/>
        <v>15.486725663716816</v>
      </c>
      <c r="U33" s="46">
        <f t="shared" si="11"/>
        <v>15.486725663716816</v>
      </c>
      <c r="V33" s="46">
        <f t="shared" si="11"/>
        <v>15.486725663716816</v>
      </c>
      <c r="W33" s="46">
        <f t="shared" si="11"/>
        <v>15.486725663716816</v>
      </c>
    </row>
    <row r="34" spans="2:25" s="22" customFormat="1" ht="18" customHeight="1">
      <c r="B34" s="48" t="s">
        <v>58</v>
      </c>
      <c r="C34" s="45"/>
      <c r="D34" s="45">
        <v>157</v>
      </c>
      <c r="E34" s="45">
        <v>157</v>
      </c>
      <c r="F34" s="45">
        <v>157</v>
      </c>
      <c r="G34" s="45">
        <v>157</v>
      </c>
      <c r="H34" s="45">
        <v>157</v>
      </c>
      <c r="I34" s="45">
        <v>157</v>
      </c>
      <c r="J34" s="45">
        <v>157</v>
      </c>
      <c r="K34" s="45">
        <v>157</v>
      </c>
      <c r="L34" s="45">
        <v>157</v>
      </c>
      <c r="M34" s="45">
        <v>157</v>
      </c>
      <c r="N34" s="45">
        <v>157</v>
      </c>
      <c r="O34" s="45">
        <v>157</v>
      </c>
      <c r="P34" s="45">
        <v>157</v>
      </c>
      <c r="Q34" s="45">
        <v>157</v>
      </c>
      <c r="R34" s="45">
        <v>157</v>
      </c>
      <c r="S34" s="45">
        <v>157</v>
      </c>
      <c r="T34" s="45">
        <v>157</v>
      </c>
      <c r="U34" s="45">
        <v>157</v>
      </c>
      <c r="V34" s="45">
        <v>157</v>
      </c>
      <c r="W34" s="45">
        <v>157</v>
      </c>
    </row>
    <row r="35" spans="2:25" s="22" customFormat="1" ht="18" customHeight="1">
      <c r="B35" s="48" t="s">
        <v>59</v>
      </c>
      <c r="C35" s="45"/>
      <c r="D35" s="45">
        <v>681</v>
      </c>
      <c r="E35" s="45">
        <v>681</v>
      </c>
      <c r="F35" s="45">
        <f>F13*0.05</f>
        <v>1080.576</v>
      </c>
      <c r="G35" s="45">
        <v>681</v>
      </c>
      <c r="H35" s="45">
        <v>1000</v>
      </c>
      <c r="I35" s="45">
        <v>700</v>
      </c>
      <c r="J35" s="45">
        <v>700</v>
      </c>
      <c r="K35" s="45">
        <v>309</v>
      </c>
      <c r="L35" s="45">
        <v>1000</v>
      </c>
      <c r="M35" s="45">
        <v>700</v>
      </c>
      <c r="N35" s="45">
        <v>700</v>
      </c>
      <c r="O35" s="45">
        <v>700</v>
      </c>
      <c r="P35" s="45">
        <v>800</v>
      </c>
      <c r="Q35" s="45">
        <v>800</v>
      </c>
      <c r="R35" s="45">
        <v>800</v>
      </c>
      <c r="S35" s="45">
        <v>700</v>
      </c>
      <c r="T35" s="45">
        <v>700</v>
      </c>
      <c r="U35" s="45">
        <v>700</v>
      </c>
      <c r="V35" s="45">
        <v>800</v>
      </c>
      <c r="W35" s="45">
        <v>800</v>
      </c>
    </row>
    <row r="36" spans="2:25" s="22" customFormat="1" ht="18" customHeight="1">
      <c r="B36" s="48" t="s">
        <v>60</v>
      </c>
      <c r="C36" s="45"/>
      <c r="D36" s="45">
        <v>50</v>
      </c>
      <c r="E36" s="45">
        <v>50</v>
      </c>
      <c r="F36" s="45">
        <v>50</v>
      </c>
      <c r="G36" s="45">
        <v>50</v>
      </c>
      <c r="H36" s="45">
        <v>50</v>
      </c>
      <c r="I36" s="45">
        <v>50</v>
      </c>
      <c r="J36" s="45">
        <v>50</v>
      </c>
      <c r="K36" s="45">
        <v>50</v>
      </c>
      <c r="L36" s="45">
        <v>50</v>
      </c>
      <c r="M36" s="45">
        <v>50</v>
      </c>
      <c r="N36" s="45">
        <v>50</v>
      </c>
      <c r="O36" s="45">
        <v>50</v>
      </c>
      <c r="P36" s="45">
        <v>50</v>
      </c>
      <c r="Q36" s="45">
        <v>50</v>
      </c>
      <c r="R36" s="45">
        <v>50</v>
      </c>
      <c r="S36" s="45">
        <v>50</v>
      </c>
      <c r="T36" s="45">
        <v>50</v>
      </c>
      <c r="U36" s="45">
        <v>50</v>
      </c>
      <c r="V36" s="45">
        <v>50</v>
      </c>
      <c r="W36" s="45">
        <v>50</v>
      </c>
    </row>
    <row r="37" spans="2:25" s="22" customFormat="1" ht="18" customHeight="1">
      <c r="B37" s="48" t="s">
        <v>61</v>
      </c>
      <c r="C37" s="45"/>
      <c r="D37" s="45">
        <v>100</v>
      </c>
      <c r="E37" s="45">
        <v>100</v>
      </c>
      <c r="F37" s="45">
        <v>100</v>
      </c>
      <c r="G37" s="45">
        <v>100</v>
      </c>
      <c r="H37" s="45">
        <v>100</v>
      </c>
      <c r="I37" s="45">
        <v>100</v>
      </c>
      <c r="J37" s="45">
        <v>100</v>
      </c>
      <c r="K37" s="45">
        <v>100</v>
      </c>
      <c r="L37" s="45">
        <v>100</v>
      </c>
      <c r="M37" s="45">
        <v>100</v>
      </c>
      <c r="N37" s="45">
        <v>100</v>
      </c>
      <c r="O37" s="45">
        <v>100</v>
      </c>
      <c r="P37" s="45">
        <v>100</v>
      </c>
      <c r="Q37" s="45">
        <v>100</v>
      </c>
      <c r="R37" s="45">
        <v>100</v>
      </c>
      <c r="S37" s="45">
        <v>100</v>
      </c>
      <c r="T37" s="45">
        <v>100</v>
      </c>
      <c r="U37" s="45">
        <v>100</v>
      </c>
      <c r="V37" s="45">
        <v>100</v>
      </c>
      <c r="W37" s="45">
        <v>100</v>
      </c>
    </row>
    <row r="38" spans="2:25" s="22" customFormat="1" ht="27" customHeight="1">
      <c r="B38" s="41" t="s">
        <v>62</v>
      </c>
      <c r="C38" s="45">
        <v>15</v>
      </c>
      <c r="D38" s="46">
        <f t="shared" ref="D38:R38" si="12">$D$46*0.95/$C$38</f>
        <v>1702.4</v>
      </c>
      <c r="E38" s="46">
        <f t="shared" si="12"/>
        <v>1702.4</v>
      </c>
      <c r="F38" s="46">
        <f t="shared" si="12"/>
        <v>1702.4</v>
      </c>
      <c r="G38" s="46">
        <f t="shared" si="12"/>
        <v>1702.4</v>
      </c>
      <c r="H38" s="46">
        <f t="shared" si="12"/>
        <v>1702.4</v>
      </c>
      <c r="I38" s="46">
        <f t="shared" si="12"/>
        <v>1702.4</v>
      </c>
      <c r="J38" s="46">
        <f t="shared" si="12"/>
        <v>1702.4</v>
      </c>
      <c r="K38" s="46">
        <f t="shared" si="12"/>
        <v>1702.4</v>
      </c>
      <c r="L38" s="46">
        <f t="shared" si="12"/>
        <v>1702.4</v>
      </c>
      <c r="M38" s="46">
        <f t="shared" si="12"/>
        <v>1702.4</v>
      </c>
      <c r="N38" s="46">
        <f t="shared" si="12"/>
        <v>1702.4</v>
      </c>
      <c r="O38" s="46">
        <f t="shared" si="12"/>
        <v>1702.4</v>
      </c>
      <c r="P38" s="46">
        <f t="shared" si="12"/>
        <v>1702.4</v>
      </c>
      <c r="Q38" s="46">
        <f t="shared" si="12"/>
        <v>1702.4</v>
      </c>
      <c r="R38" s="46">
        <f t="shared" si="12"/>
        <v>1702.4</v>
      </c>
      <c r="S38" s="46"/>
      <c r="T38" s="46"/>
      <c r="U38" s="46"/>
      <c r="V38" s="46"/>
      <c r="W38" s="47"/>
    </row>
    <row r="39" spans="2:25" s="22" customFormat="1" ht="18" customHeight="1">
      <c r="B39" s="55" t="s">
        <v>63</v>
      </c>
      <c r="C39" s="45"/>
      <c r="D39" s="46"/>
      <c r="E39" s="46"/>
      <c r="F39" s="46"/>
      <c r="G39" s="46"/>
      <c r="H39" s="46"/>
      <c r="I39" s="46"/>
      <c r="J39" s="46"/>
      <c r="K39" s="46"/>
      <c r="L39" s="46"/>
      <c r="M39" s="46"/>
      <c r="N39" s="46"/>
      <c r="O39" s="46"/>
      <c r="P39" s="46"/>
      <c r="Q39" s="46"/>
      <c r="R39" s="47"/>
      <c r="S39" s="46"/>
      <c r="T39" s="46"/>
      <c r="U39" s="46"/>
      <c r="V39" s="46"/>
      <c r="W39" s="47"/>
    </row>
    <row r="40" spans="2:25" s="22" customFormat="1" ht="18" customHeight="1">
      <c r="B40" s="41" t="s">
        <v>64</v>
      </c>
      <c r="C40" s="45"/>
      <c r="D40" s="46">
        <f t="shared" ref="D40:W40" si="13">SUM(D19:D24)</f>
        <v>15244.003326403325</v>
      </c>
      <c r="E40" s="46">
        <f t="shared" si="13"/>
        <v>15081.841164241163</v>
      </c>
      <c r="F40" s="46">
        <f t="shared" si="13"/>
        <v>15081.841164241163</v>
      </c>
      <c r="G40" s="46">
        <f t="shared" si="13"/>
        <v>15081.841164241163</v>
      </c>
      <c r="H40" s="46">
        <f t="shared" si="13"/>
        <v>15081.841164241163</v>
      </c>
      <c r="I40" s="46">
        <f t="shared" si="13"/>
        <v>15081.841164241163</v>
      </c>
      <c r="J40" s="46">
        <f t="shared" si="13"/>
        <v>15081.841164241163</v>
      </c>
      <c r="K40" s="46">
        <f t="shared" si="13"/>
        <v>15081.841164241163</v>
      </c>
      <c r="L40" s="46">
        <f t="shared" si="13"/>
        <v>15081.841164241163</v>
      </c>
      <c r="M40" s="46">
        <f t="shared" si="13"/>
        <v>15081.841164241163</v>
      </c>
      <c r="N40" s="46">
        <f t="shared" si="13"/>
        <v>15054.961164241164</v>
      </c>
      <c r="O40" s="46">
        <f t="shared" si="13"/>
        <v>15054.961164241164</v>
      </c>
      <c r="P40" s="46">
        <f t="shared" si="13"/>
        <v>15054.961164241164</v>
      </c>
      <c r="Q40" s="46">
        <f t="shared" si="13"/>
        <v>15054.961164241164</v>
      </c>
      <c r="R40" s="46">
        <f t="shared" si="13"/>
        <v>15054.961164241164</v>
      </c>
      <c r="S40" s="46">
        <f t="shared" si="13"/>
        <v>15054.961164241164</v>
      </c>
      <c r="T40" s="46">
        <f t="shared" si="13"/>
        <v>15054.961164241164</v>
      </c>
      <c r="U40" s="46">
        <f t="shared" si="13"/>
        <v>15054.961164241164</v>
      </c>
      <c r="V40" s="46">
        <f t="shared" si="13"/>
        <v>15054.961164241164</v>
      </c>
      <c r="W40" s="47">
        <f t="shared" si="13"/>
        <v>15054.961164241164</v>
      </c>
    </row>
    <row r="41" spans="2:25" s="22" customFormat="1" ht="18" customHeight="1">
      <c r="B41" s="41" t="s">
        <v>65</v>
      </c>
      <c r="C41" s="45"/>
      <c r="D41" s="46">
        <f t="shared" ref="D41:W41" si="14">SUM(D30:D37)+D38</f>
        <v>12354.736283185843</v>
      </c>
      <c r="E41" s="46">
        <f t="shared" si="14"/>
        <v>12113.143362831859</v>
      </c>
      <c r="F41" s="46">
        <f t="shared" si="14"/>
        <v>12512.719362831858</v>
      </c>
      <c r="G41" s="46">
        <f t="shared" si="14"/>
        <v>12113.143362831859</v>
      </c>
      <c r="H41" s="46">
        <f t="shared" si="14"/>
        <v>12432.143362831859</v>
      </c>
      <c r="I41" s="46">
        <f t="shared" si="14"/>
        <v>12132.143362831859</v>
      </c>
      <c r="J41" s="46">
        <f t="shared" si="14"/>
        <v>12132.143362831859</v>
      </c>
      <c r="K41" s="46">
        <f t="shared" si="14"/>
        <v>11741.143362831859</v>
      </c>
      <c r="L41" s="46">
        <f t="shared" si="14"/>
        <v>12432.143362831859</v>
      </c>
      <c r="M41" s="46">
        <f t="shared" si="14"/>
        <v>12132.143362831859</v>
      </c>
      <c r="N41" s="46">
        <f t="shared" si="14"/>
        <v>12132.143362831859</v>
      </c>
      <c r="O41" s="46">
        <f t="shared" si="14"/>
        <v>12132.143362831859</v>
      </c>
      <c r="P41" s="46">
        <f t="shared" si="14"/>
        <v>12232.143362831859</v>
      </c>
      <c r="Q41" s="46">
        <f t="shared" si="14"/>
        <v>12232.143362831859</v>
      </c>
      <c r="R41" s="47">
        <f t="shared" si="14"/>
        <v>12232.143362831859</v>
      </c>
      <c r="S41" s="46">
        <f t="shared" si="14"/>
        <v>10429.743362831859</v>
      </c>
      <c r="T41" s="46">
        <f t="shared" si="14"/>
        <v>10429.743362831859</v>
      </c>
      <c r="U41" s="46">
        <f t="shared" si="14"/>
        <v>10429.743362831859</v>
      </c>
      <c r="V41" s="46">
        <f t="shared" si="14"/>
        <v>10529.743362831859</v>
      </c>
      <c r="W41" s="47">
        <f t="shared" si="14"/>
        <v>10529.743362831859</v>
      </c>
    </row>
    <row r="42" spans="2:25" s="22" customFormat="1" ht="18" customHeight="1">
      <c r="B42" s="41" t="s">
        <v>66</v>
      </c>
      <c r="C42" s="45"/>
      <c r="D42" s="46">
        <f t="shared" ref="D42:W42" si="15">D40-D41-D50</f>
        <v>1478.0670432174818</v>
      </c>
      <c r="E42" s="46">
        <f t="shared" si="15"/>
        <v>1796.032829650615</v>
      </c>
      <c r="F42" s="46">
        <f t="shared" si="15"/>
        <v>1658.8392918744121</v>
      </c>
      <c r="G42" s="46">
        <f t="shared" si="15"/>
        <v>2310.5082387649918</v>
      </c>
      <c r="H42" s="46">
        <f t="shared" si="15"/>
        <v>2141.5082387649918</v>
      </c>
      <c r="I42" s="46">
        <f t="shared" si="15"/>
        <v>2591.5082387649918</v>
      </c>
      <c r="J42" s="46">
        <f t="shared" si="15"/>
        <v>2741.5082387649918</v>
      </c>
      <c r="K42" s="46">
        <f t="shared" si="15"/>
        <v>3282.5082387649918</v>
      </c>
      <c r="L42" s="46">
        <f t="shared" si="15"/>
        <v>2649.7082387649921</v>
      </c>
      <c r="M42" s="46">
        <f t="shared" si="15"/>
        <v>2949.6978014093038</v>
      </c>
      <c r="N42" s="46">
        <f t="shared" si="15"/>
        <v>2922.8178014093046</v>
      </c>
      <c r="O42" s="46">
        <f t="shared" si="15"/>
        <v>2922.8178014093046</v>
      </c>
      <c r="P42" s="46">
        <f t="shared" si="15"/>
        <v>2822.8178014093046</v>
      </c>
      <c r="Q42" s="46">
        <f t="shared" si="15"/>
        <v>2822.8178014093046</v>
      </c>
      <c r="R42" s="47">
        <f t="shared" si="15"/>
        <v>2822.8178014093046</v>
      </c>
      <c r="S42" s="46">
        <f t="shared" si="15"/>
        <v>4625.2178014093042</v>
      </c>
      <c r="T42" s="46">
        <f t="shared" si="15"/>
        <v>4625.2178014093042</v>
      </c>
      <c r="U42" s="46">
        <f t="shared" si="15"/>
        <v>4625.2178014093042</v>
      </c>
      <c r="V42" s="46">
        <f t="shared" si="15"/>
        <v>4525.2178014093042</v>
      </c>
      <c r="W42" s="47">
        <f t="shared" si="15"/>
        <v>4525.2178014093042</v>
      </c>
    </row>
    <row r="43" spans="2:25" s="23" customFormat="1" ht="32.25" customHeight="1">
      <c r="B43" s="56" t="s">
        <v>67</v>
      </c>
      <c r="C43" s="50">
        <v>0.25</v>
      </c>
      <c r="D43" s="47">
        <f>D42*1</f>
        <v>1478.0670432174818</v>
      </c>
      <c r="E43" s="47">
        <f>E42*1</f>
        <v>1796.032829650615</v>
      </c>
      <c r="F43" s="47">
        <f>F42*1</f>
        <v>1658.8392918744121</v>
      </c>
      <c r="G43" s="47">
        <f>G42*(1-$C$43/2)</f>
        <v>2021.6947089193677</v>
      </c>
      <c r="H43" s="47">
        <f>H42*(1-$C$43/2)</f>
        <v>1873.8197089193677</v>
      </c>
      <c r="I43" s="47">
        <f>I42*(1-$C$43/2)</f>
        <v>2267.5697089193677</v>
      </c>
      <c r="J43" s="47">
        <f t="shared" ref="J43:W43" si="16">J42*(1-$C$43)</f>
        <v>2056.1311790737436</v>
      </c>
      <c r="K43" s="47">
        <f t="shared" si="16"/>
        <v>2461.8811790737436</v>
      </c>
      <c r="L43" s="47">
        <f t="shared" si="16"/>
        <v>1987.2811790737442</v>
      </c>
      <c r="M43" s="47">
        <f t="shared" si="16"/>
        <v>2212.2733510569778</v>
      </c>
      <c r="N43" s="47">
        <f t="shared" si="16"/>
        <v>2192.1133510569784</v>
      </c>
      <c r="O43" s="47">
        <f t="shared" si="16"/>
        <v>2192.1133510569784</v>
      </c>
      <c r="P43" s="47">
        <f t="shared" si="16"/>
        <v>2117.1133510569784</v>
      </c>
      <c r="Q43" s="47">
        <f t="shared" si="16"/>
        <v>2117.1133510569784</v>
      </c>
      <c r="R43" s="47">
        <f t="shared" si="16"/>
        <v>2117.1133510569784</v>
      </c>
      <c r="S43" s="47">
        <f t="shared" si="16"/>
        <v>3468.9133510569782</v>
      </c>
      <c r="T43" s="47">
        <f t="shared" si="16"/>
        <v>3468.9133510569782</v>
      </c>
      <c r="U43" s="47">
        <f t="shared" si="16"/>
        <v>3468.9133510569782</v>
      </c>
      <c r="V43" s="47">
        <f t="shared" si="16"/>
        <v>3393.9133510569782</v>
      </c>
      <c r="W43" s="47">
        <f t="shared" si="16"/>
        <v>3393.9133510569782</v>
      </c>
    </row>
    <row r="44" spans="2:25" s="22" customFormat="1" ht="18" customHeight="1">
      <c r="B44" s="41" t="s">
        <v>68</v>
      </c>
      <c r="C44" s="50"/>
      <c r="D44" s="46">
        <f t="shared" ref="D44:W44" si="17">D43+D38</f>
        <v>3180.4670432174817</v>
      </c>
      <c r="E44" s="46">
        <f t="shared" si="17"/>
        <v>3498.4328296506151</v>
      </c>
      <c r="F44" s="46">
        <f t="shared" si="17"/>
        <v>3361.2392918744122</v>
      </c>
      <c r="G44" s="46">
        <f t="shared" si="17"/>
        <v>3724.0947089193678</v>
      </c>
      <c r="H44" s="46">
        <f t="shared" si="17"/>
        <v>3576.2197089193678</v>
      </c>
      <c r="I44" s="46">
        <f t="shared" si="17"/>
        <v>3969.9697089193678</v>
      </c>
      <c r="J44" s="46">
        <f t="shared" si="17"/>
        <v>3758.5311790737437</v>
      </c>
      <c r="K44" s="46">
        <f t="shared" si="17"/>
        <v>4164.2811790737433</v>
      </c>
      <c r="L44" s="46">
        <f t="shared" si="17"/>
        <v>3689.6811790737443</v>
      </c>
      <c r="M44" s="46">
        <f t="shared" si="17"/>
        <v>3914.6733510569779</v>
      </c>
      <c r="N44" s="46">
        <f t="shared" si="17"/>
        <v>3894.5133510569785</v>
      </c>
      <c r="O44" s="46">
        <f t="shared" si="17"/>
        <v>3894.5133510569785</v>
      </c>
      <c r="P44" s="46">
        <f t="shared" si="17"/>
        <v>3819.5133510569785</v>
      </c>
      <c r="Q44" s="46">
        <f t="shared" si="17"/>
        <v>3819.5133510569785</v>
      </c>
      <c r="R44" s="47">
        <f t="shared" si="17"/>
        <v>3819.5133510569785</v>
      </c>
      <c r="S44" s="46">
        <f t="shared" si="17"/>
        <v>3468.9133510569782</v>
      </c>
      <c r="T44" s="46">
        <f t="shared" si="17"/>
        <v>3468.9133510569782</v>
      </c>
      <c r="U44" s="46">
        <f t="shared" si="17"/>
        <v>3468.9133510569782</v>
      </c>
      <c r="V44" s="46">
        <f t="shared" si="17"/>
        <v>3393.9133510569782</v>
      </c>
      <c r="W44" s="47">
        <f t="shared" si="17"/>
        <v>3393.9133510569782</v>
      </c>
      <c r="Y44" s="57"/>
    </row>
    <row r="45" spans="2:25" s="22" customFormat="1" ht="18" customHeight="1">
      <c r="B45" s="41" t="s">
        <v>69</v>
      </c>
      <c r="C45" s="50"/>
      <c r="D45" s="45"/>
      <c r="E45" s="46"/>
      <c r="F45" s="46"/>
      <c r="G45" s="46"/>
      <c r="H45" s="46"/>
      <c r="I45" s="46"/>
      <c r="J45" s="46"/>
      <c r="K45" s="46"/>
      <c r="L45" s="46"/>
      <c r="M45" s="46"/>
      <c r="N45" s="46"/>
      <c r="O45" s="46"/>
      <c r="P45" s="46"/>
      <c r="Q45" s="46"/>
      <c r="R45" s="47"/>
      <c r="S45" s="46"/>
      <c r="T45" s="46"/>
      <c r="U45" s="46"/>
      <c r="V45" s="46"/>
      <c r="W45" s="47"/>
      <c r="Y45" s="57"/>
    </row>
    <row r="46" spans="2:25" s="23" customFormat="1" ht="18" customHeight="1">
      <c r="B46" s="56" t="s">
        <v>70</v>
      </c>
      <c r="C46" s="50"/>
      <c r="D46" s="45">
        <v>26880</v>
      </c>
      <c r="E46" s="47"/>
      <c r="F46" s="47"/>
      <c r="G46" s="47"/>
      <c r="H46" s="47"/>
      <c r="I46" s="47"/>
      <c r="J46" s="47"/>
      <c r="K46" s="47"/>
      <c r="L46" s="47"/>
      <c r="M46" s="47"/>
      <c r="N46" s="47"/>
      <c r="O46" s="47"/>
      <c r="P46" s="47"/>
      <c r="Q46" s="47"/>
      <c r="R46" s="47"/>
      <c r="S46" s="47"/>
      <c r="T46" s="47"/>
      <c r="U46" s="47"/>
      <c r="V46" s="47"/>
      <c r="W46" s="47"/>
      <c r="Y46" s="58"/>
    </row>
    <row r="47" spans="2:25" s="22" customFormat="1" ht="18" customHeight="1">
      <c r="B47" s="41" t="str">
        <f>"资本金-万元(占总投资"&amp;C47*100&amp;"%）"</f>
        <v>资本金-万元(占总投资30%）</v>
      </c>
      <c r="C47" s="50">
        <v>0.3</v>
      </c>
      <c r="D47" s="46">
        <f>D46*C47</f>
        <v>8064</v>
      </c>
      <c r="E47" s="46"/>
      <c r="F47" s="46"/>
      <c r="G47" s="46"/>
      <c r="H47" s="46"/>
      <c r="I47" s="46"/>
      <c r="J47" s="46"/>
      <c r="K47" s="46"/>
      <c r="L47" s="46"/>
      <c r="M47" s="46"/>
      <c r="N47" s="46"/>
      <c r="O47" s="46"/>
      <c r="P47" s="46"/>
      <c r="Q47" s="46"/>
      <c r="R47" s="47"/>
      <c r="S47" s="46"/>
      <c r="T47" s="46"/>
      <c r="U47" s="46"/>
      <c r="V47" s="46"/>
      <c r="W47" s="47"/>
      <c r="Y47" s="57"/>
    </row>
    <row r="48" spans="2:25" s="22" customFormat="1" ht="18" customHeight="1">
      <c r="B48" s="41" t="s">
        <v>71</v>
      </c>
      <c r="C48" s="50"/>
      <c r="D48" s="46">
        <f>D45+D46-D47</f>
        <v>18816</v>
      </c>
      <c r="E48" s="46"/>
      <c r="F48" s="46"/>
      <c r="G48" s="46"/>
      <c r="H48" s="46"/>
      <c r="I48" s="46"/>
      <c r="J48" s="46"/>
      <c r="K48" s="46"/>
      <c r="L48" s="46"/>
      <c r="M48" s="46"/>
      <c r="N48" s="46"/>
      <c r="O48" s="46"/>
      <c r="P48" s="46"/>
      <c r="Q48" s="46"/>
      <c r="R48" s="47"/>
      <c r="S48" s="46"/>
      <c r="T48" s="46"/>
      <c r="U48" s="46"/>
      <c r="V48" s="46"/>
      <c r="W48" s="47"/>
      <c r="Y48" s="57"/>
    </row>
    <row r="49" spans="2:25" s="22" customFormat="1" ht="18" customHeight="1">
      <c r="B49" s="41" t="s">
        <v>72</v>
      </c>
      <c r="C49" s="50"/>
      <c r="D49" s="46">
        <f>D48</f>
        <v>18816</v>
      </c>
      <c r="E49" s="46">
        <f t="shared" ref="E49:L49" si="18">D49+E48-D51</f>
        <v>15635.532956782517</v>
      </c>
      <c r="F49" s="46">
        <f t="shared" si="18"/>
        <v>12137.100127131902</v>
      </c>
      <c r="G49" s="46">
        <f t="shared" si="18"/>
        <v>8775.8608352574902</v>
      </c>
      <c r="H49" s="46">
        <f t="shared" si="18"/>
        <v>6775.8608352574902</v>
      </c>
      <c r="I49" s="46">
        <f t="shared" si="18"/>
        <v>4775.8608352574902</v>
      </c>
      <c r="J49" s="46">
        <f t="shared" si="18"/>
        <v>2775.8608352574902</v>
      </c>
      <c r="K49" s="46">
        <f t="shared" si="18"/>
        <v>775.86083525749018</v>
      </c>
      <c r="L49" s="46">
        <f t="shared" si="18"/>
        <v>-0.13916474250981992</v>
      </c>
      <c r="M49" s="46"/>
      <c r="N49" s="46"/>
      <c r="O49" s="46"/>
      <c r="P49" s="46"/>
      <c r="Q49" s="46"/>
      <c r="R49" s="46"/>
      <c r="S49" s="46"/>
      <c r="T49" s="46"/>
      <c r="U49" s="46"/>
      <c r="V49" s="46"/>
      <c r="W49" s="46"/>
      <c r="Y49" s="57"/>
    </row>
    <row r="50" spans="2:25" s="23" customFormat="1" ht="18" customHeight="1">
      <c r="B50" s="56" t="s">
        <v>73</v>
      </c>
      <c r="C50" s="50">
        <v>7.4999999999999997E-2</v>
      </c>
      <c r="D50" s="47">
        <f t="shared" ref="D50:L50" si="19">D49*$C$50</f>
        <v>1411.2</v>
      </c>
      <c r="E50" s="47">
        <f t="shared" si="19"/>
        <v>1172.6649717586888</v>
      </c>
      <c r="F50" s="47">
        <f t="shared" si="19"/>
        <v>910.2825095348926</v>
      </c>
      <c r="G50" s="47">
        <f t="shared" si="19"/>
        <v>658.18956264431176</v>
      </c>
      <c r="H50" s="47">
        <f t="shared" si="19"/>
        <v>508.18956264431176</v>
      </c>
      <c r="I50" s="47">
        <f t="shared" si="19"/>
        <v>358.18956264431176</v>
      </c>
      <c r="J50" s="47">
        <f t="shared" si="19"/>
        <v>208.18956264431176</v>
      </c>
      <c r="K50" s="47">
        <f t="shared" si="19"/>
        <v>58.189562644311764</v>
      </c>
      <c r="L50" s="47">
        <f t="shared" si="19"/>
        <v>-1.0437355688236493E-2</v>
      </c>
      <c r="M50" s="47"/>
      <c r="N50" s="47"/>
      <c r="O50" s="47"/>
      <c r="P50" s="47"/>
      <c r="Q50" s="47"/>
      <c r="R50" s="47"/>
      <c r="S50" s="47"/>
      <c r="T50" s="47"/>
      <c r="U50" s="47"/>
      <c r="V50" s="47"/>
      <c r="W50" s="47"/>
      <c r="Y50" s="58"/>
    </row>
    <row r="51" spans="2:25" s="22" customFormat="1" ht="18" customHeight="1">
      <c r="B51" s="41" t="s">
        <v>74</v>
      </c>
      <c r="C51" s="45"/>
      <c r="D51" s="45">
        <f>D44</f>
        <v>3180.4670432174817</v>
      </c>
      <c r="E51" s="45">
        <f>E44</f>
        <v>3498.4328296506151</v>
      </c>
      <c r="F51" s="45">
        <f>F44</f>
        <v>3361.2392918744122</v>
      </c>
      <c r="G51" s="45">
        <v>2000</v>
      </c>
      <c r="H51" s="45">
        <v>2000</v>
      </c>
      <c r="I51" s="45">
        <v>2000</v>
      </c>
      <c r="J51" s="45">
        <v>2000</v>
      </c>
      <c r="K51" s="45">
        <v>776</v>
      </c>
      <c r="L51" s="45"/>
      <c r="M51" s="45"/>
      <c r="N51" s="45"/>
      <c r="O51" s="45"/>
      <c r="P51" s="45"/>
      <c r="Q51" s="45"/>
      <c r="R51" s="45"/>
      <c r="S51" s="45"/>
      <c r="T51" s="45"/>
      <c r="U51" s="45"/>
      <c r="V51" s="45"/>
      <c r="W51" s="45"/>
      <c r="Y51" s="57"/>
    </row>
    <row r="52" spans="2:25" s="22" customFormat="1" ht="18" customHeight="1">
      <c r="B52" s="41" t="s">
        <v>75</v>
      </c>
      <c r="C52" s="45"/>
      <c r="D52" s="46">
        <f t="shared" ref="D52:W52" si="20">D44-D45-D46</f>
        <v>-23699.532956782517</v>
      </c>
      <c r="E52" s="46">
        <f t="shared" si="20"/>
        <v>3498.4328296506151</v>
      </c>
      <c r="F52" s="46">
        <f t="shared" si="20"/>
        <v>3361.2392918744122</v>
      </c>
      <c r="G52" s="46">
        <f t="shared" si="20"/>
        <v>3724.0947089193678</v>
      </c>
      <c r="H52" s="46">
        <f t="shared" si="20"/>
        <v>3576.2197089193678</v>
      </c>
      <c r="I52" s="46">
        <f t="shared" si="20"/>
        <v>3969.9697089193678</v>
      </c>
      <c r="J52" s="46">
        <f t="shared" si="20"/>
        <v>3758.5311790737437</v>
      </c>
      <c r="K52" s="46">
        <f t="shared" si="20"/>
        <v>4164.2811790737433</v>
      </c>
      <c r="L52" s="46">
        <f t="shared" si="20"/>
        <v>3689.6811790737443</v>
      </c>
      <c r="M52" s="46">
        <f t="shared" si="20"/>
        <v>3914.6733510569779</v>
      </c>
      <c r="N52" s="46">
        <f t="shared" si="20"/>
        <v>3894.5133510569785</v>
      </c>
      <c r="O52" s="46">
        <f t="shared" si="20"/>
        <v>3894.5133510569785</v>
      </c>
      <c r="P52" s="46">
        <f t="shared" si="20"/>
        <v>3819.5133510569785</v>
      </c>
      <c r="Q52" s="46">
        <f t="shared" si="20"/>
        <v>3819.5133510569785</v>
      </c>
      <c r="R52" s="47">
        <f t="shared" si="20"/>
        <v>3819.5133510569785</v>
      </c>
      <c r="S52" s="46">
        <f t="shared" si="20"/>
        <v>3468.9133510569782</v>
      </c>
      <c r="T52" s="46">
        <f t="shared" si="20"/>
        <v>3468.9133510569782</v>
      </c>
      <c r="U52" s="46">
        <f t="shared" si="20"/>
        <v>3468.9133510569782</v>
      </c>
      <c r="V52" s="46">
        <f t="shared" si="20"/>
        <v>3393.9133510569782</v>
      </c>
      <c r="W52" s="47">
        <f t="shared" si="20"/>
        <v>3393.9133510569782</v>
      </c>
      <c r="Y52" s="57"/>
    </row>
    <row r="53" spans="2:25" s="22" customFormat="1" ht="18" customHeight="1">
      <c r="B53" s="41" t="s">
        <v>76</v>
      </c>
      <c r="C53" s="45"/>
      <c r="D53" s="46">
        <f>D52</f>
        <v>-23699.532956782517</v>
      </c>
      <c r="E53" s="46">
        <f t="shared" ref="E53:W53" si="21">D53+E52</f>
        <v>-20201.100127131904</v>
      </c>
      <c r="F53" s="46">
        <f t="shared" si="21"/>
        <v>-16839.860835257492</v>
      </c>
      <c r="G53" s="46">
        <f t="shared" si="21"/>
        <v>-13115.766126338123</v>
      </c>
      <c r="H53" s="46">
        <f t="shared" si="21"/>
        <v>-9539.5464174187546</v>
      </c>
      <c r="I53" s="46">
        <f t="shared" si="21"/>
        <v>-5569.5767084993868</v>
      </c>
      <c r="J53" s="46">
        <f t="shared" si="21"/>
        <v>-1811.0455294256431</v>
      </c>
      <c r="K53" s="46">
        <f t="shared" si="21"/>
        <v>2353.2356496481002</v>
      </c>
      <c r="L53" s="46">
        <f t="shared" si="21"/>
        <v>6042.9168287218445</v>
      </c>
      <c r="M53" s="46">
        <f t="shared" si="21"/>
        <v>9957.5901797788229</v>
      </c>
      <c r="N53" s="46">
        <f t="shared" si="21"/>
        <v>13852.1035308358</v>
      </c>
      <c r="O53" s="46">
        <f t="shared" si="21"/>
        <v>17746.61688189278</v>
      </c>
      <c r="P53" s="46">
        <f t="shared" si="21"/>
        <v>21566.130232949759</v>
      </c>
      <c r="Q53" s="46">
        <f t="shared" si="21"/>
        <v>25385.643584006739</v>
      </c>
      <c r="R53" s="47">
        <f t="shared" si="21"/>
        <v>29205.156935063718</v>
      </c>
      <c r="S53" s="46">
        <f t="shared" si="21"/>
        <v>32674.070286120696</v>
      </c>
      <c r="T53" s="46">
        <f t="shared" si="21"/>
        <v>36142.983637177676</v>
      </c>
      <c r="U53" s="46">
        <f t="shared" si="21"/>
        <v>39611.896988234657</v>
      </c>
      <c r="V53" s="46">
        <f t="shared" si="21"/>
        <v>43005.810339291638</v>
      </c>
      <c r="W53" s="47">
        <f t="shared" si="21"/>
        <v>46399.723690348619</v>
      </c>
    </row>
    <row r="54" spans="2:25" ht="18" customHeight="1">
      <c r="B54" s="1" t="s">
        <v>77</v>
      </c>
      <c r="C54" s="45"/>
      <c r="D54" s="2">
        <f>7-J53/K52</f>
        <v>7.434899914666298</v>
      </c>
      <c r="E54" s="7" t="s">
        <v>78</v>
      </c>
      <c r="F54" s="3"/>
      <c r="G54" s="3"/>
      <c r="H54" s="3"/>
      <c r="I54" s="3"/>
      <c r="J54" s="3"/>
      <c r="K54" s="3"/>
      <c r="L54" s="3"/>
      <c r="M54" s="3"/>
      <c r="N54" s="3"/>
      <c r="O54" s="3"/>
      <c r="P54" s="3"/>
      <c r="Q54" s="3"/>
      <c r="R54" s="14"/>
      <c r="S54" s="3"/>
      <c r="T54" s="3"/>
      <c r="U54" s="3"/>
      <c r="V54" s="3"/>
      <c r="W54" s="14"/>
    </row>
    <row r="55" spans="2:25" ht="18" customHeight="1">
      <c r="B55" s="1" t="s">
        <v>79</v>
      </c>
      <c r="C55" s="45"/>
      <c r="D55" s="4">
        <f>(SUM(D42:W42)+SUM(D50:W50))/D46/20</f>
        <v>0.12300064968376914</v>
      </c>
      <c r="E55" s="7" t="s">
        <v>80</v>
      </c>
      <c r="F55" s="3"/>
      <c r="G55" s="3"/>
      <c r="H55" s="3"/>
      <c r="I55" s="3"/>
      <c r="J55" s="3"/>
      <c r="K55" s="3"/>
      <c r="L55" s="3"/>
      <c r="M55" s="3"/>
      <c r="N55" s="3"/>
      <c r="O55" s="3"/>
      <c r="P55" s="3"/>
      <c r="Q55" s="3"/>
      <c r="R55" s="14"/>
      <c r="S55" s="3"/>
      <c r="T55" s="3"/>
      <c r="U55" s="3"/>
      <c r="V55" s="3"/>
      <c r="W55" s="14"/>
    </row>
    <row r="56" spans="2:25" ht="18" customHeight="1">
      <c r="B56" s="1" t="s">
        <v>81</v>
      </c>
      <c r="C56" s="45"/>
      <c r="D56" s="59">
        <f>NPV(10%,D52:W52)</f>
        <v>6579.1608872627503</v>
      </c>
      <c r="E56" s="7" t="s">
        <v>82</v>
      </c>
      <c r="F56" s="5"/>
      <c r="G56" s="5"/>
      <c r="H56" s="5"/>
      <c r="I56" s="5"/>
      <c r="J56" s="5"/>
      <c r="K56" s="5"/>
      <c r="L56" s="5"/>
      <c r="M56" s="5"/>
      <c r="N56" s="5"/>
      <c r="O56" s="5"/>
      <c r="P56" s="5"/>
      <c r="Q56" s="5"/>
      <c r="R56" s="15"/>
      <c r="S56" s="5"/>
      <c r="T56" s="5"/>
      <c r="U56" s="5"/>
      <c r="V56" s="5"/>
      <c r="W56" s="15"/>
    </row>
    <row r="57" spans="2:25" ht="18" customHeight="1">
      <c r="B57" s="1" t="s">
        <v>83</v>
      </c>
      <c r="C57" s="45"/>
      <c r="D57" s="6">
        <f>IRR(D52:W52)</f>
        <v>0.14355391981615417</v>
      </c>
      <c r="E57" s="7" t="s">
        <v>84</v>
      </c>
      <c r="F57" s="5"/>
      <c r="G57" s="5"/>
      <c r="H57" s="5"/>
      <c r="I57" s="5"/>
      <c r="J57" s="5"/>
      <c r="K57" s="5"/>
      <c r="L57" s="5"/>
      <c r="M57" s="5"/>
      <c r="N57" s="5"/>
      <c r="O57" s="5"/>
      <c r="P57" s="5"/>
      <c r="Q57" s="5"/>
      <c r="R57" s="15"/>
      <c r="S57" s="5"/>
      <c r="T57" s="5"/>
      <c r="U57" s="5"/>
      <c r="V57" s="5"/>
      <c r="W57" s="15"/>
    </row>
    <row r="58" spans="2:25" ht="18" customHeight="1">
      <c r="B58" s="8" t="s">
        <v>85</v>
      </c>
      <c r="C58" s="45"/>
      <c r="D58" s="9">
        <f>(AVERAGE(D43:W43)+AVERAGE(D50:W50))/D46</f>
        <v>0.11065542542086776</v>
      </c>
      <c r="E58" s="10" t="s">
        <v>86</v>
      </c>
      <c r="F58" s="10"/>
      <c r="G58" s="10"/>
      <c r="H58" s="12"/>
      <c r="I58" s="12"/>
      <c r="J58" s="12"/>
      <c r="K58" s="12"/>
      <c r="L58" s="12"/>
      <c r="M58" s="12"/>
      <c r="N58" s="11"/>
      <c r="O58" s="11"/>
      <c r="P58" s="11"/>
      <c r="Q58" s="11"/>
      <c r="R58" s="16"/>
      <c r="S58" s="11"/>
      <c r="T58" s="11"/>
      <c r="U58" s="11"/>
      <c r="V58" s="11"/>
      <c r="W58" s="16"/>
    </row>
    <row r="60" spans="2:25" ht="18" customHeight="1">
      <c r="B60" s="13"/>
      <c r="C60" s="13"/>
    </row>
    <row r="63" spans="2:25" ht="18" customHeight="1">
      <c r="D63" s="19"/>
    </row>
    <row r="64" spans="2:25" ht="18" customHeight="1">
      <c r="D64" s="19"/>
    </row>
    <row r="65" spans="2:24" ht="18" customHeight="1">
      <c r="B65" s="17"/>
      <c r="C65" s="17"/>
      <c r="R65" s="20"/>
      <c r="W65" s="20"/>
      <c r="X65" s="18"/>
    </row>
    <row r="66" spans="2:24" ht="18" customHeight="1">
      <c r="B66" s="13"/>
      <c r="C66" s="13"/>
      <c r="R66" s="20"/>
      <c r="W66" s="20"/>
    </row>
    <row r="69" spans="2:24" ht="12.75" customHeight="1">
      <c r="B69" s="13"/>
      <c r="C69" s="13"/>
    </row>
    <row r="70" spans="2:24" ht="12.75" customHeight="1"/>
    <row r="71" spans="2:24" ht="12.75" customHeight="1"/>
    <row r="72" spans="2:24" ht="12.75" customHeight="1"/>
    <row r="73" spans="2:24" ht="12.75" customHeight="1"/>
    <row r="74" spans="2:24" ht="12.75" customHeight="1"/>
  </sheetData>
  <mergeCells count="9">
    <mergeCell ref="D1:R1"/>
    <mergeCell ref="B3:I9"/>
    <mergeCell ref="K3:O3"/>
    <mergeCell ref="Q3:T3"/>
    <mergeCell ref="K9:L9"/>
    <mergeCell ref="K4:L4"/>
    <mergeCell ref="K5:L5"/>
    <mergeCell ref="K6:L6"/>
    <mergeCell ref="K7:L7"/>
  </mergeCells>
  <phoneticPr fontId="15"/>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亿利燃气战投部</dc:creator>
  <cp:lastModifiedBy>Ren, Bo/任 勃</cp:lastModifiedBy>
  <cp:lastPrinted>2015-05-14T07:45:00Z</cp:lastPrinted>
  <dcterms:created xsi:type="dcterms:W3CDTF">2015-03-11T00:56:00Z</dcterms:created>
  <dcterms:modified xsi:type="dcterms:W3CDTF">2018-02-02T06:53:57Z</dcterms:modified>
</cp:coreProperties>
</file>