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55" windowWidth="14805" windowHeight="6945" tabRatio="631" activeTab="1"/>
  </bookViews>
  <sheets>
    <sheet name="汽轮机计算-背压" sheetId="16" r:id="rId1"/>
    <sheet name="汽轮机计算-抽凝" sheetId="10" r:id="rId2"/>
    <sheet name="Sheet3" sheetId="1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66" i="16" l="1"/>
  <c r="F24" i="10"/>
  <c r="F23" i="10"/>
  <c r="F72" i="16"/>
  <c r="F68" i="16"/>
  <c r="F46" i="16"/>
  <c r="F45" i="16"/>
  <c r="F44" i="16"/>
  <c r="F43" i="16"/>
  <c r="AB37" i="16"/>
  <c r="Y37" i="16"/>
  <c r="V37" i="16"/>
  <c r="AB36" i="16"/>
  <c r="Y36" i="16"/>
  <c r="V36" i="16"/>
  <c r="AB35" i="16"/>
  <c r="Y35" i="16"/>
  <c r="V35" i="16"/>
  <c r="I35" i="16"/>
  <c r="F62" i="16" s="1"/>
  <c r="AB34" i="16"/>
  <c r="Y34" i="16"/>
  <c r="V34" i="16"/>
  <c r="J34" i="16"/>
  <c r="F34" i="16"/>
  <c r="AB33" i="16"/>
  <c r="Y33" i="16"/>
  <c r="V33" i="16"/>
  <c r="B33" i="16"/>
  <c r="E33" i="16" s="1"/>
  <c r="AB32" i="16"/>
  <c r="Y32" i="16"/>
  <c r="V32" i="16"/>
  <c r="E32" i="16"/>
  <c r="AB31" i="16"/>
  <c r="Y31" i="16"/>
  <c r="V31" i="16"/>
  <c r="AB30" i="16"/>
  <c r="Y30" i="16"/>
  <c r="V30" i="16"/>
  <c r="F17" i="16"/>
  <c r="F16" i="16"/>
  <c r="F22" i="10"/>
  <c r="F21" i="10"/>
  <c r="C38" i="16"/>
  <c r="F33" i="16"/>
  <c r="X29" i="16"/>
  <c r="F9" i="16"/>
  <c r="F91" i="16"/>
  <c r="B38" i="16"/>
  <c r="C32" i="16"/>
  <c r="F8" i="16"/>
  <c r="F90" i="16"/>
  <c r="F49" i="16"/>
  <c r="C35" i="16"/>
  <c r="G32" i="16"/>
  <c r="F48" i="16"/>
  <c r="H34" i="16"/>
  <c r="G33" i="16"/>
  <c r="F32" i="16"/>
  <c r="J35" i="16"/>
  <c r="I33" i="16" l="1"/>
  <c r="F51" i="16"/>
  <c r="F57" i="16" s="1"/>
  <c r="F63" i="16" s="1"/>
  <c r="F70" i="16"/>
  <c r="I32" i="16"/>
  <c r="C36" i="16"/>
  <c r="C37" i="16" s="1"/>
  <c r="F19" i="16"/>
  <c r="F12" i="16"/>
  <c r="C33" i="16"/>
  <c r="B36" i="16"/>
  <c r="J33" i="16"/>
  <c r="F11" i="16"/>
  <c r="F13" i="16"/>
  <c r="F14" i="16"/>
  <c r="F64" i="16"/>
  <c r="F65" i="16"/>
  <c r="J32" i="16"/>
  <c r="F21" i="16"/>
  <c r="K32" i="16" l="1"/>
  <c r="F18" i="16"/>
  <c r="F71" i="16" s="1"/>
  <c r="F22" i="16"/>
  <c r="F23" i="16" s="1"/>
  <c r="F69" i="16"/>
  <c r="B37" i="16"/>
  <c r="E37" i="16" s="1"/>
  <c r="E36" i="16"/>
  <c r="F50" i="16"/>
  <c r="K33" i="16"/>
  <c r="F60" i="16" s="1"/>
  <c r="F75" i="16"/>
  <c r="F87" i="16" s="1"/>
  <c r="F81" i="16"/>
  <c r="F56" i="16"/>
  <c r="F37" i="16"/>
  <c r="G37" i="16"/>
  <c r="F88" i="16"/>
  <c r="G36" i="16"/>
  <c r="F36" i="16"/>
  <c r="F52" i="16"/>
  <c r="F53" i="16"/>
  <c r="F58" i="16"/>
  <c r="F59" i="16"/>
  <c r="F55" i="16" l="1"/>
  <c r="I36" i="16"/>
  <c r="I37" i="16"/>
  <c r="F54" i="16"/>
  <c r="K35" i="16"/>
  <c r="J36" i="16"/>
  <c r="J37" i="16"/>
  <c r="K36" i="16" l="1"/>
  <c r="F78" i="16" s="1"/>
  <c r="F67" i="16"/>
  <c r="F73" i="16"/>
  <c r="F61" i="16"/>
  <c r="F80" i="16"/>
  <c r="F74" i="16"/>
  <c r="F82" i="16"/>
  <c r="F83" i="16"/>
  <c r="F76" i="16"/>
  <c r="F77" i="16"/>
  <c r="F79" i="16" l="1"/>
  <c r="F85" i="16"/>
  <c r="F89" i="16"/>
  <c r="F92" i="16" s="1"/>
  <c r="K37" i="16"/>
  <c r="F84" i="16" s="1"/>
  <c r="F94" i="16" s="1"/>
  <c r="F93" i="16" l="1"/>
  <c r="F95" i="16"/>
  <c r="F96" i="16" s="1"/>
  <c r="F94" i="10" l="1"/>
  <c r="F93" i="10"/>
  <c r="H37" i="10"/>
  <c r="B41" i="10"/>
  <c r="C41" i="10"/>
  <c r="C38" i="10"/>
  <c r="C35" i="10"/>
  <c r="F9" i="10"/>
  <c r="F8" i="10"/>
  <c r="I38" i="10" l="1"/>
  <c r="J38" i="10"/>
  <c r="F65" i="10" l="1"/>
  <c r="J37" i="10"/>
  <c r="F16" i="10"/>
  <c r="F26" i="10" s="1"/>
  <c r="F75" i="10"/>
  <c r="F71" i="10"/>
  <c r="F49" i="10"/>
  <c r="F48" i="10"/>
  <c r="F47" i="10"/>
  <c r="F46" i="10"/>
  <c r="AB40" i="10"/>
  <c r="Y40" i="10"/>
  <c r="V40" i="10"/>
  <c r="AB39" i="10"/>
  <c r="Y39" i="10"/>
  <c r="V39" i="10"/>
  <c r="AB38" i="10"/>
  <c r="Y38" i="10"/>
  <c r="V38" i="10"/>
  <c r="AB37" i="10"/>
  <c r="Y37" i="10"/>
  <c r="V37" i="10"/>
  <c r="F37" i="10"/>
  <c r="AB36" i="10"/>
  <c r="Y36" i="10"/>
  <c r="V36" i="10"/>
  <c r="B36" i="10"/>
  <c r="E36" i="10" s="1"/>
  <c r="AB35" i="10"/>
  <c r="Y35" i="10"/>
  <c r="V35" i="10"/>
  <c r="E35" i="10"/>
  <c r="AB34" i="10"/>
  <c r="Y34" i="10"/>
  <c r="V34" i="10"/>
  <c r="AB33" i="10"/>
  <c r="Y33" i="10"/>
  <c r="V33" i="10"/>
  <c r="F17" i="10"/>
  <c r="F36" i="10"/>
  <c r="G36" i="10"/>
  <c r="G35" i="10"/>
  <c r="F35" i="10"/>
  <c r="F51" i="10"/>
  <c r="F52" i="10"/>
  <c r="X32" i="10"/>
  <c r="C39" i="10" l="1"/>
  <c r="C40" i="10" s="1"/>
  <c r="C36" i="10"/>
  <c r="F54" i="10"/>
  <c r="B39" i="10"/>
  <c r="E39" i="10" s="1"/>
  <c r="F19" i="10"/>
  <c r="I35" i="10"/>
  <c r="I36" i="10"/>
  <c r="F12" i="10"/>
  <c r="F73" i="10"/>
  <c r="G39" i="10"/>
  <c r="F11" i="10"/>
  <c r="F13" i="10"/>
  <c r="F14" i="10"/>
  <c r="J35" i="10"/>
  <c r="J36" i="10"/>
  <c r="F53" i="10" l="1"/>
  <c r="K35" i="10"/>
  <c r="F59" i="10"/>
  <c r="F60" i="10"/>
  <c r="F66" i="10" s="1"/>
  <c r="F18" i="10"/>
  <c r="F72" i="10"/>
  <c r="B40" i="10"/>
  <c r="E40" i="10" s="1"/>
  <c r="F56" i="10"/>
  <c r="F61" i="10"/>
  <c r="F62" i="10"/>
  <c r="F68" i="10"/>
  <c r="F67" i="10"/>
  <c r="F55" i="10"/>
  <c r="G40" i="10"/>
  <c r="F40" i="10"/>
  <c r="F39" i="10"/>
  <c r="F58" i="10" l="1"/>
  <c r="F84" i="10"/>
  <c r="K36" i="10"/>
  <c r="K38" i="10" s="1"/>
  <c r="F57" i="10"/>
  <c r="F78" i="10"/>
  <c r="F90" i="10" s="1"/>
  <c r="I39" i="10"/>
  <c r="I40" i="10"/>
  <c r="F74" i="10"/>
  <c r="F91" i="10"/>
  <c r="J39" i="10"/>
  <c r="J40" i="10"/>
  <c r="F63" i="10" l="1"/>
  <c r="F70" i="10" s="1"/>
  <c r="K39" i="10"/>
  <c r="K40" i="10" s="1"/>
  <c r="F77" i="10"/>
  <c r="F83" i="10"/>
  <c r="F64" i="10"/>
  <c r="F79" i="10"/>
  <c r="F80" i="10"/>
  <c r="F85" i="10"/>
  <c r="F86" i="10"/>
  <c r="F92" i="10" l="1"/>
  <c r="F95" i="10" s="1"/>
  <c r="F69" i="10"/>
  <c r="F81" i="10"/>
  <c r="F82" i="10" l="1"/>
  <c r="F76" i="10"/>
  <c r="F88" i="10"/>
  <c r="F87" i="10"/>
  <c r="F96" i="10" s="1"/>
  <c r="F97" i="10" l="1"/>
  <c r="F98" i="10" s="1"/>
  <c r="F99" i="10" s="1"/>
</calcChain>
</file>

<file path=xl/sharedStrings.xml><?xml version="1.0" encoding="utf-8"?>
<sst xmlns="http://schemas.openxmlformats.org/spreadsheetml/2006/main" count="849" uniqueCount="270">
  <si>
    <t>t/h</t>
    <phoneticPr fontId="1" type="noConversion"/>
  </si>
  <si>
    <t>℃</t>
    <phoneticPr fontId="7" type="noConversion"/>
  </si>
  <si>
    <t>〔2〕</t>
  </si>
  <si>
    <t>〔3〕</t>
  </si>
  <si>
    <t>〔4〕</t>
  </si>
  <si>
    <t>〔5〕</t>
  </si>
  <si>
    <t>〔6〕</t>
  </si>
  <si>
    <t>符号</t>
    <phoneticPr fontId="7" type="noConversion"/>
  </si>
  <si>
    <t>〔7〕</t>
  </si>
  <si>
    <t>〔8〕</t>
  </si>
  <si>
    <t>〔9〕</t>
  </si>
  <si>
    <t>〔10〕</t>
  </si>
  <si>
    <t>〔11〕</t>
  </si>
  <si>
    <t>〔12〕</t>
  </si>
  <si>
    <t>〔13〕</t>
  </si>
  <si>
    <t>〔14〕</t>
  </si>
  <si>
    <t>〔15〕</t>
  </si>
  <si>
    <t>〔16〕</t>
  </si>
  <si>
    <t>P</t>
    <phoneticPr fontId="7" type="noConversion"/>
  </si>
  <si>
    <t>kw</t>
    <phoneticPr fontId="7" type="noConversion"/>
  </si>
  <si>
    <t>t/h</t>
    <phoneticPr fontId="7" type="noConversion"/>
  </si>
  <si>
    <t>给定</t>
    <phoneticPr fontId="7" type="noConversion"/>
  </si>
  <si>
    <t>给定</t>
    <phoneticPr fontId="7" type="noConversion"/>
  </si>
  <si>
    <t>机械效率</t>
    <phoneticPr fontId="7" type="noConversion"/>
  </si>
  <si>
    <r>
      <t>η</t>
    </r>
    <r>
      <rPr>
        <vertAlign val="subscript"/>
        <sz val="12"/>
        <rFont val="Times New Roman"/>
        <family val="1"/>
      </rPr>
      <t>m</t>
    </r>
    <phoneticPr fontId="7" type="noConversion"/>
  </si>
  <si>
    <t>发电机效率</t>
    <phoneticPr fontId="7" type="noConversion"/>
  </si>
  <si>
    <r>
      <t>η</t>
    </r>
    <r>
      <rPr>
        <vertAlign val="subscript"/>
        <sz val="12"/>
        <rFont val="Times New Roman"/>
        <family val="1"/>
      </rPr>
      <t>g</t>
    </r>
    <phoneticPr fontId="7" type="noConversion"/>
  </si>
  <si>
    <t>Mpa</t>
    <phoneticPr fontId="7" type="noConversion"/>
  </si>
  <si>
    <t>设计参数</t>
  </si>
  <si>
    <t>t/h</t>
    <phoneticPr fontId="7" type="noConversion"/>
  </si>
  <si>
    <t>热源产生主蒸汽总流量</t>
    <phoneticPr fontId="7" type="noConversion"/>
  </si>
  <si>
    <t>熵</t>
    <phoneticPr fontId="7" type="noConversion"/>
  </si>
  <si>
    <t>kJ/(kg·℃)</t>
    <phoneticPr fontId="7" type="noConversion"/>
  </si>
  <si>
    <t>Mpa</t>
    <phoneticPr fontId="7" type="noConversion"/>
  </si>
  <si>
    <t>熵</t>
    <phoneticPr fontId="7" type="noConversion"/>
  </si>
  <si>
    <t>S'</t>
    <phoneticPr fontId="7" type="noConversion"/>
  </si>
  <si>
    <t>kJ/(kg·℃)</t>
    <phoneticPr fontId="7" type="noConversion"/>
  </si>
  <si>
    <t>主蒸汽绝热等熵</t>
    <phoneticPr fontId="7" type="noConversion"/>
  </si>
  <si>
    <t>〔17〕</t>
  </si>
  <si>
    <t>焓</t>
    <phoneticPr fontId="7" type="noConversion"/>
  </si>
  <si>
    <t>kJ/kg</t>
    <phoneticPr fontId="7" type="noConversion"/>
  </si>
  <si>
    <t>〔18〕</t>
  </si>
  <si>
    <t>查表</t>
    <phoneticPr fontId="7" type="noConversion"/>
  </si>
  <si>
    <t>〔19〕</t>
  </si>
  <si>
    <t>P3</t>
    <phoneticPr fontId="7" type="noConversion"/>
  </si>
  <si>
    <t>Mpa</t>
    <phoneticPr fontId="7" type="noConversion"/>
  </si>
  <si>
    <t>湿冷：0.005～0.007 空冷0.015</t>
    <phoneticPr fontId="7" type="noConversion"/>
  </si>
  <si>
    <t>〔20〕</t>
  </si>
  <si>
    <t>Ipo</t>
    <phoneticPr fontId="7" type="noConversion"/>
  </si>
  <si>
    <t>汽轮机绝热等熵做功排汽焓值，查表</t>
    <phoneticPr fontId="7" type="noConversion"/>
  </si>
  <si>
    <t>〔21〕</t>
  </si>
  <si>
    <t>〔22〕</t>
  </si>
  <si>
    <t>〔23〕</t>
  </si>
  <si>
    <t>〔24〕</t>
  </si>
  <si>
    <t>饱和水焓</t>
    <phoneticPr fontId="7" type="noConversion"/>
  </si>
  <si>
    <t>℃</t>
    <phoneticPr fontId="7" type="noConversion"/>
  </si>
  <si>
    <t>t/h</t>
    <phoneticPr fontId="7" type="noConversion"/>
  </si>
  <si>
    <t>温度</t>
    <phoneticPr fontId="7" type="noConversion"/>
  </si>
  <si>
    <t>设计参数</t>
    <phoneticPr fontId="7" type="noConversion"/>
  </si>
  <si>
    <t>流量</t>
    <phoneticPr fontId="7" type="noConversion"/>
  </si>
  <si>
    <t>S'</t>
    <phoneticPr fontId="7" type="noConversion"/>
  </si>
  <si>
    <t>主蒸汽绝热等熵</t>
    <phoneticPr fontId="7" type="noConversion"/>
  </si>
  <si>
    <t>Izob</t>
    <phoneticPr fontId="7" type="noConversion"/>
  </si>
  <si>
    <t>KW</t>
    <phoneticPr fontId="7" type="noConversion"/>
  </si>
  <si>
    <t>GH2</t>
    <phoneticPr fontId="7" type="noConversion"/>
  </si>
  <si>
    <t>HH1至HH2功率</t>
    <phoneticPr fontId="7" type="noConversion"/>
  </si>
  <si>
    <t>D除氧    压力</t>
    <phoneticPr fontId="7" type="noConversion"/>
  </si>
  <si>
    <t>〔25〕</t>
  </si>
  <si>
    <t>GD</t>
    <phoneticPr fontId="7" type="noConversion"/>
  </si>
  <si>
    <t>〔26〕</t>
  </si>
  <si>
    <t>HH2至D功率</t>
    <phoneticPr fontId="7" type="noConversion"/>
  </si>
  <si>
    <t>P4</t>
    <phoneticPr fontId="7" type="noConversion"/>
  </si>
  <si>
    <t>〔27〕</t>
  </si>
  <si>
    <t>P2'</t>
    <phoneticPr fontId="7" type="noConversion"/>
  </si>
  <si>
    <t>〔28〕</t>
  </si>
  <si>
    <t>〔29〕</t>
  </si>
  <si>
    <t>〔30〕</t>
  </si>
  <si>
    <t>实际焓值</t>
    <phoneticPr fontId="7" type="noConversion"/>
  </si>
  <si>
    <t>〔32〕</t>
  </si>
  <si>
    <t>G2</t>
    <phoneticPr fontId="7" type="noConversion"/>
  </si>
  <si>
    <t>〔33〕</t>
  </si>
  <si>
    <t>P1</t>
    <phoneticPr fontId="7" type="noConversion"/>
  </si>
  <si>
    <t>〔34〕</t>
  </si>
  <si>
    <t>1#低加    压力</t>
    <phoneticPr fontId="7" type="noConversion"/>
  </si>
  <si>
    <t>〔35〕</t>
  </si>
  <si>
    <t>〔36〕</t>
  </si>
  <si>
    <t>〔37〕</t>
  </si>
  <si>
    <t>〔38〕</t>
  </si>
  <si>
    <t>GL2</t>
    <phoneticPr fontId="7" type="noConversion"/>
  </si>
  <si>
    <t>〔39〕</t>
  </si>
  <si>
    <t>P5</t>
    <phoneticPr fontId="7" type="noConversion"/>
  </si>
  <si>
    <t>〔40〕</t>
  </si>
  <si>
    <t>2#低加    压力</t>
    <phoneticPr fontId="7" type="noConversion"/>
  </si>
  <si>
    <t>〔41〕</t>
  </si>
  <si>
    <t>〔42〕</t>
  </si>
  <si>
    <t>〔43〕</t>
  </si>
  <si>
    <t>〔44〕</t>
  </si>
  <si>
    <t>〔45〕</t>
  </si>
  <si>
    <t>LH1至LH2功率</t>
    <phoneticPr fontId="7" type="noConversion"/>
  </si>
  <si>
    <t>P6</t>
    <phoneticPr fontId="7" type="noConversion"/>
  </si>
  <si>
    <t>〔46〕</t>
  </si>
  <si>
    <t>〔47〕</t>
  </si>
  <si>
    <t>〔48〕</t>
  </si>
  <si>
    <t>〔49〕</t>
  </si>
  <si>
    <t>实际焓</t>
    <phoneticPr fontId="7" type="noConversion"/>
  </si>
  <si>
    <t>Ipo‘</t>
    <phoneticPr fontId="7" type="noConversion"/>
  </si>
  <si>
    <t>kJ/kg</t>
  </si>
  <si>
    <t>〔50〕</t>
  </si>
  <si>
    <t>饱和蒸汽焓</t>
    <phoneticPr fontId="7" type="noConversion"/>
  </si>
  <si>
    <t>Ipog</t>
    <phoneticPr fontId="7" type="noConversion"/>
  </si>
  <si>
    <t>〔51〕</t>
  </si>
  <si>
    <t>Ipos</t>
    <phoneticPr fontId="7" type="noConversion"/>
  </si>
  <si>
    <t>〔52〕</t>
  </si>
  <si>
    <t>干度</t>
    <phoneticPr fontId="7" type="noConversion"/>
  </si>
  <si>
    <t>x</t>
    <phoneticPr fontId="7" type="noConversion"/>
  </si>
  <si>
    <t>〔53〕</t>
  </si>
  <si>
    <t>压力提高，排汽干度降低；</t>
    <phoneticPr fontId="7" type="noConversion"/>
  </si>
  <si>
    <t>〔54〕</t>
  </si>
  <si>
    <t>LH2至乏汽功率</t>
    <phoneticPr fontId="7" type="noConversion"/>
  </si>
  <si>
    <t>〔55〕</t>
  </si>
  <si>
    <t>〔56〕</t>
  </si>
  <si>
    <t>序号</t>
    <phoneticPr fontId="7" type="noConversion"/>
  </si>
  <si>
    <t>给定</t>
    <phoneticPr fontId="7" type="noConversion"/>
  </si>
  <si>
    <t>Mpa</t>
    <phoneticPr fontId="7" type="noConversion"/>
  </si>
  <si>
    <t>设计参数</t>
    <phoneticPr fontId="7" type="noConversion"/>
  </si>
  <si>
    <t>℃</t>
    <phoneticPr fontId="7" type="noConversion"/>
  </si>
  <si>
    <t>G1</t>
    <phoneticPr fontId="7" type="noConversion"/>
  </si>
  <si>
    <t>t/h</t>
    <phoneticPr fontId="7" type="noConversion"/>
  </si>
  <si>
    <t>〔1〕</t>
    <phoneticPr fontId="7" type="noConversion"/>
  </si>
  <si>
    <t>汽轮机内效率</t>
    <phoneticPr fontId="7" type="noConversion"/>
  </si>
  <si>
    <r>
      <t>η</t>
    </r>
    <r>
      <rPr>
        <vertAlign val="subscript"/>
        <sz val="12"/>
        <rFont val="Times New Roman"/>
        <family val="1"/>
      </rPr>
      <t>Ti</t>
    </r>
    <phoneticPr fontId="7" type="noConversion"/>
  </si>
  <si>
    <t>机械效率</t>
    <phoneticPr fontId="7" type="noConversion"/>
  </si>
  <si>
    <r>
      <t>η</t>
    </r>
    <r>
      <rPr>
        <vertAlign val="subscript"/>
        <sz val="12"/>
        <rFont val="Times New Roman"/>
        <family val="1"/>
      </rPr>
      <t>m</t>
    </r>
    <phoneticPr fontId="7" type="noConversion"/>
  </si>
  <si>
    <t>发电机效率</t>
    <phoneticPr fontId="7" type="noConversion"/>
  </si>
  <si>
    <r>
      <t>η</t>
    </r>
    <r>
      <rPr>
        <vertAlign val="subscript"/>
        <sz val="12"/>
        <rFont val="Times New Roman"/>
        <family val="1"/>
      </rPr>
      <t>g</t>
    </r>
    <phoneticPr fontId="7" type="noConversion"/>
  </si>
  <si>
    <t>主蒸汽      压力</t>
    <phoneticPr fontId="7" type="noConversion"/>
  </si>
  <si>
    <t>温度</t>
    <phoneticPr fontId="7" type="noConversion"/>
  </si>
  <si>
    <t>流量</t>
    <phoneticPr fontId="7" type="noConversion"/>
  </si>
  <si>
    <t>热源产生主蒸汽总流量</t>
    <phoneticPr fontId="7" type="noConversion"/>
  </si>
  <si>
    <t>熵</t>
    <phoneticPr fontId="7" type="noConversion"/>
  </si>
  <si>
    <t>kJ/(kg·℃)</t>
    <phoneticPr fontId="7" type="noConversion"/>
  </si>
  <si>
    <t>查表</t>
    <phoneticPr fontId="7" type="noConversion"/>
  </si>
  <si>
    <t>焓</t>
    <phoneticPr fontId="7" type="noConversion"/>
  </si>
  <si>
    <t>Izo</t>
    <phoneticPr fontId="7" type="noConversion"/>
  </si>
  <si>
    <t>kJ/kg</t>
    <phoneticPr fontId="7" type="noConversion"/>
  </si>
  <si>
    <t>P2'</t>
    <phoneticPr fontId="7" type="noConversion"/>
  </si>
  <si>
    <t>Mpa</t>
    <phoneticPr fontId="7" type="noConversion"/>
  </si>
  <si>
    <t>设计参数</t>
    <phoneticPr fontId="7" type="noConversion"/>
  </si>
  <si>
    <t>温度</t>
    <phoneticPr fontId="7" type="noConversion"/>
  </si>
  <si>
    <t>℃</t>
    <phoneticPr fontId="7" type="noConversion"/>
  </si>
  <si>
    <t>S'</t>
    <phoneticPr fontId="7" type="noConversion"/>
  </si>
  <si>
    <t>主蒸汽绝热等熵</t>
    <phoneticPr fontId="7" type="noConversion"/>
  </si>
  <si>
    <t>Izob</t>
    <phoneticPr fontId="7" type="noConversion"/>
  </si>
  <si>
    <t>流量</t>
    <phoneticPr fontId="7" type="noConversion"/>
  </si>
  <si>
    <t>t/h</t>
    <phoneticPr fontId="7" type="noConversion"/>
  </si>
  <si>
    <t>G</t>
    <phoneticPr fontId="7" type="noConversion"/>
  </si>
  <si>
    <t>G1+G2</t>
    <phoneticPr fontId="7" type="noConversion"/>
  </si>
  <si>
    <t>压力</t>
    <phoneticPr fontId="7" type="noConversion"/>
  </si>
  <si>
    <t>焓</t>
    <phoneticPr fontId="7" type="noConversion"/>
  </si>
  <si>
    <r>
      <t>I</t>
    </r>
    <r>
      <rPr>
        <vertAlign val="subscript"/>
        <sz val="11"/>
        <rFont val="宋体"/>
        <family val="3"/>
        <charset val="134"/>
      </rPr>
      <t>h</t>
    </r>
    <phoneticPr fontId="7" type="noConversion"/>
  </si>
  <si>
    <t>kJ/kg</t>
    <phoneticPr fontId="7" type="noConversion"/>
  </si>
  <si>
    <t>（（G1-G3）*Izob+G2*Izo'）/G</t>
    <phoneticPr fontId="7" type="noConversion"/>
  </si>
  <si>
    <t>熵</t>
    <phoneticPr fontId="7" type="noConversion"/>
  </si>
  <si>
    <r>
      <t>S</t>
    </r>
    <r>
      <rPr>
        <vertAlign val="subscript"/>
        <sz val="11"/>
        <rFont val="宋体"/>
        <family val="3"/>
        <charset val="134"/>
      </rPr>
      <t>h</t>
    </r>
    <phoneticPr fontId="7" type="noConversion"/>
  </si>
  <si>
    <t>kJ/(kg·℃)</t>
    <phoneticPr fontId="7" type="noConversion"/>
  </si>
  <si>
    <t>查表</t>
    <phoneticPr fontId="7" type="noConversion"/>
  </si>
  <si>
    <t>乏汽             压力</t>
    <phoneticPr fontId="7" type="noConversion"/>
  </si>
  <si>
    <t>P3</t>
    <phoneticPr fontId="7" type="noConversion"/>
  </si>
  <si>
    <t>焓</t>
    <phoneticPr fontId="7" type="noConversion"/>
  </si>
  <si>
    <t>Ipo</t>
    <phoneticPr fontId="7" type="noConversion"/>
  </si>
  <si>
    <t>kJ/kg</t>
    <phoneticPr fontId="7" type="noConversion"/>
  </si>
  <si>
    <t>总发电量</t>
    <phoneticPr fontId="7" type="noConversion"/>
  </si>
  <si>
    <t>P</t>
    <phoneticPr fontId="7" type="noConversion"/>
  </si>
  <si>
    <t>kw</t>
    <phoneticPr fontId="7" type="noConversion"/>
  </si>
  <si>
    <t>去除抽汽后</t>
    <phoneticPr fontId="7" type="noConversion"/>
  </si>
  <si>
    <t>MW</t>
    <phoneticPr fontId="7" type="noConversion"/>
  </si>
  <si>
    <t>经验值：有高加0.85；无高加0.9；无低价0.95</t>
    <phoneticPr fontId="7" type="noConversion"/>
  </si>
  <si>
    <t>选定</t>
    <phoneticPr fontId="7" type="noConversion"/>
  </si>
  <si>
    <t>全厂汽水损失</t>
    <phoneticPr fontId="7" type="noConversion"/>
  </si>
  <si>
    <t>根据情况选择加热器形式：汇集式或者疏水放流式加热器，汇集式带疏水泵将疏水打至给水；假定换热效率0.98</t>
    <phoneticPr fontId="7" type="noConversion"/>
  </si>
  <si>
    <t>给水出水温度</t>
    <phoneticPr fontId="7" type="noConversion"/>
  </si>
  <si>
    <t>给水出口焓</t>
    <phoneticPr fontId="7" type="noConversion"/>
  </si>
  <si>
    <t>上端差</t>
    <phoneticPr fontId="7" type="noConversion"/>
  </si>
  <si>
    <t>饱和水温度--加热器疏水温度</t>
    <phoneticPr fontId="7" type="noConversion"/>
  </si>
  <si>
    <t>饱和水焓</t>
    <phoneticPr fontId="7" type="noConversion"/>
  </si>
  <si>
    <t>工作压力</t>
    <phoneticPr fontId="7" type="noConversion"/>
  </si>
  <si>
    <t>抽汽管压损</t>
    <phoneticPr fontId="7" type="noConversion"/>
  </si>
  <si>
    <t>抽汽压力</t>
    <phoneticPr fontId="7" type="noConversion"/>
  </si>
  <si>
    <t>抽汽焓</t>
    <phoneticPr fontId="7" type="noConversion"/>
  </si>
  <si>
    <t>抽汽量</t>
    <phoneticPr fontId="7" type="noConversion"/>
  </si>
  <si>
    <t>符号</t>
    <phoneticPr fontId="7" type="noConversion"/>
  </si>
  <si>
    <r>
      <t>t</t>
    </r>
    <r>
      <rPr>
        <sz val="9"/>
        <rFont val="宋体"/>
        <family val="3"/>
        <charset val="134"/>
      </rPr>
      <t>w2</t>
    </r>
    <phoneticPr fontId="7" type="noConversion"/>
  </si>
  <si>
    <r>
      <t>h</t>
    </r>
    <r>
      <rPr>
        <sz val="9"/>
        <rFont val="宋体"/>
        <family val="3"/>
        <charset val="134"/>
      </rPr>
      <t>w2</t>
    </r>
    <phoneticPr fontId="7" type="noConversion"/>
  </si>
  <si>
    <t>φ</t>
    <phoneticPr fontId="7" type="noConversion"/>
  </si>
  <si>
    <r>
      <t>t</t>
    </r>
    <r>
      <rPr>
        <sz val="9"/>
        <rFont val="宋体"/>
        <family val="3"/>
        <charset val="134"/>
      </rPr>
      <t>e‘</t>
    </r>
    <phoneticPr fontId="7" type="noConversion"/>
  </si>
  <si>
    <r>
      <t>h</t>
    </r>
    <r>
      <rPr>
        <sz val="10"/>
        <rFont val="宋体"/>
        <family val="3"/>
        <charset val="134"/>
      </rPr>
      <t>e</t>
    </r>
    <r>
      <rPr>
        <sz val="11"/>
        <rFont val="宋体"/>
        <family val="3"/>
        <charset val="134"/>
      </rPr>
      <t>’</t>
    </r>
    <phoneticPr fontId="7" type="noConversion"/>
  </si>
  <si>
    <r>
      <t>p</t>
    </r>
    <r>
      <rPr>
        <sz val="9"/>
        <rFont val="宋体"/>
        <family val="3"/>
        <charset val="134"/>
      </rPr>
      <t>e‘</t>
    </r>
    <phoneticPr fontId="7" type="noConversion"/>
  </si>
  <si>
    <t>ΔPe</t>
    <phoneticPr fontId="7" type="noConversion"/>
  </si>
  <si>
    <t>Pe</t>
    <phoneticPr fontId="7" type="noConversion"/>
  </si>
  <si>
    <r>
      <t>h</t>
    </r>
    <r>
      <rPr>
        <sz val="10"/>
        <rFont val="宋体"/>
        <family val="3"/>
        <charset val="134"/>
      </rPr>
      <t>e</t>
    </r>
    <phoneticPr fontId="7" type="noConversion"/>
  </si>
  <si>
    <t>Δde‘</t>
    <phoneticPr fontId="7" type="noConversion"/>
  </si>
  <si>
    <t>单位</t>
    <phoneticPr fontId="7" type="noConversion"/>
  </si>
  <si>
    <t>℃</t>
    <phoneticPr fontId="7" type="noConversion"/>
  </si>
  <si>
    <t>kj/kg</t>
    <phoneticPr fontId="7" type="noConversion"/>
  </si>
  <si>
    <t>HH1</t>
    <phoneticPr fontId="7" type="noConversion"/>
  </si>
  <si>
    <t>HH2</t>
    <phoneticPr fontId="7" type="noConversion"/>
  </si>
  <si>
    <t>假设</t>
    <phoneticPr fontId="7" type="noConversion"/>
  </si>
  <si>
    <t>化学补水</t>
    <phoneticPr fontId="7" type="noConversion"/>
  </si>
  <si>
    <t>温度：</t>
    <phoneticPr fontId="7" type="noConversion"/>
  </si>
  <si>
    <t>压力：</t>
    <phoneticPr fontId="7" type="noConversion"/>
  </si>
  <si>
    <t>焓值：</t>
    <phoneticPr fontId="7" type="noConversion"/>
  </si>
  <si>
    <t>量：</t>
    <phoneticPr fontId="7" type="noConversion"/>
  </si>
  <si>
    <t>D</t>
    <phoneticPr fontId="7" type="noConversion"/>
  </si>
  <si>
    <t>LH1</t>
    <phoneticPr fontId="7" type="noConversion"/>
  </si>
  <si>
    <t>LH2</t>
    <phoneticPr fontId="7" type="noConversion"/>
  </si>
  <si>
    <t>C</t>
    <phoneticPr fontId="7" type="noConversion"/>
  </si>
  <si>
    <t>注意：除氧器压力、温度选择原则---大气式除氧器0.02MPa，104℃；中压除氧器0.3MPa，130℃；高压除氧器0.5MPa，159℃；压力均为表压；抽汽压力略高于除氧压力</t>
    <phoneticPr fontId="7" type="noConversion"/>
  </si>
  <si>
    <t>〔1〕</t>
    <phoneticPr fontId="7" type="noConversion"/>
  </si>
  <si>
    <t>汽轮机内效率</t>
    <phoneticPr fontId="7" type="noConversion"/>
  </si>
  <si>
    <r>
      <t>η</t>
    </r>
    <r>
      <rPr>
        <vertAlign val="subscript"/>
        <sz val="12"/>
        <rFont val="Times New Roman"/>
        <family val="1"/>
      </rPr>
      <t>Ti</t>
    </r>
    <phoneticPr fontId="7" type="noConversion"/>
  </si>
  <si>
    <t>主蒸汽       压力</t>
    <phoneticPr fontId="7" type="noConversion"/>
  </si>
  <si>
    <t>温度</t>
    <phoneticPr fontId="7" type="noConversion"/>
  </si>
  <si>
    <t>设计参数</t>
    <phoneticPr fontId="7" type="noConversion"/>
  </si>
  <si>
    <t>流量</t>
    <phoneticPr fontId="7" type="noConversion"/>
  </si>
  <si>
    <t>G1</t>
    <phoneticPr fontId="7" type="noConversion"/>
  </si>
  <si>
    <t>熵</t>
    <phoneticPr fontId="7" type="noConversion"/>
  </si>
  <si>
    <t>kJ/(kg·℃)</t>
    <phoneticPr fontId="7" type="noConversion"/>
  </si>
  <si>
    <t>查表</t>
    <phoneticPr fontId="7" type="noConversion"/>
  </si>
  <si>
    <t>Izo</t>
    <phoneticPr fontId="7" type="noConversion"/>
  </si>
  <si>
    <t>1#高压    压力</t>
    <phoneticPr fontId="7" type="noConversion"/>
  </si>
  <si>
    <t>S'</t>
    <phoneticPr fontId="7" type="noConversion"/>
  </si>
  <si>
    <t>主蒸汽绝热等熵</t>
    <phoneticPr fontId="7" type="noConversion"/>
  </si>
  <si>
    <t>Izob</t>
    <phoneticPr fontId="7" type="noConversion"/>
  </si>
  <si>
    <t>GH1</t>
    <phoneticPr fontId="7" type="noConversion"/>
  </si>
  <si>
    <t>主汽至HH1功率</t>
    <phoneticPr fontId="7" type="noConversion"/>
  </si>
  <si>
    <t>P2</t>
    <phoneticPr fontId="7" type="noConversion"/>
  </si>
  <si>
    <t>KW</t>
    <phoneticPr fontId="7" type="noConversion"/>
  </si>
  <si>
    <t>2#高压    压力</t>
    <phoneticPr fontId="7" type="noConversion"/>
  </si>
  <si>
    <t>P7</t>
    <phoneticPr fontId="7" type="noConversion"/>
  </si>
  <si>
    <t>总功率</t>
    <phoneticPr fontId="7" type="noConversion"/>
  </si>
  <si>
    <t>计算误差</t>
    <phoneticPr fontId="7" type="noConversion"/>
  </si>
  <si>
    <t>±3%以内</t>
    <phoneticPr fontId="7" type="noConversion"/>
  </si>
  <si>
    <t>1、发电功率估算</t>
    <phoneticPr fontId="7" type="noConversion"/>
  </si>
  <si>
    <t>2、汽轮机回热系统计算--高压设5-6回热，给水温度210-230；中温中压4-5及回热，给水温度150-170；1.3MPa低压2级回热，给水温度104；2.4MPa低压3-4级回热，给水温度150；</t>
    <phoneticPr fontId="7" type="noConversion"/>
  </si>
  <si>
    <t>抽汽点      压力</t>
    <phoneticPr fontId="7" type="noConversion"/>
  </si>
  <si>
    <t>抽汽后蒸汽量</t>
    <phoneticPr fontId="7" type="noConversion"/>
  </si>
  <si>
    <t>抽汽点    压力</t>
    <phoneticPr fontId="7" type="noConversion"/>
  </si>
  <si>
    <t>D至抽汽功率</t>
    <phoneticPr fontId="7" type="noConversion"/>
  </si>
  <si>
    <t>(Ipo'-Ipos）/（Ipog-Ipos）小型汽轮机排汽湿度控制在10~12%以内</t>
    <phoneticPr fontId="7" type="noConversion"/>
  </si>
  <si>
    <t>乏汽      压力</t>
    <phoneticPr fontId="7" type="noConversion"/>
  </si>
  <si>
    <t>抽汽至LH1功率</t>
    <phoneticPr fontId="7" type="noConversion"/>
  </si>
  <si>
    <r>
      <t>3、组内功率计算及校核--</t>
    </r>
    <r>
      <rPr>
        <sz val="11"/>
        <color indexed="14"/>
        <rFont val="宋体"/>
        <family val="3"/>
        <charset val="134"/>
      </rPr>
      <t>（1）注意补汽压力所对应的的补汽点位置；（2）注意无高加时，高加抽气压力需手动修改</t>
    </r>
    <phoneticPr fontId="7" type="noConversion"/>
  </si>
  <si>
    <t>进汽量</t>
    <phoneticPr fontId="1" type="noConversion"/>
  </si>
  <si>
    <t>t/h</t>
    <phoneticPr fontId="1" type="noConversion"/>
  </si>
  <si>
    <t>选定</t>
    <phoneticPr fontId="1" type="noConversion"/>
  </si>
  <si>
    <t>设定值（给出推荐值，操作者手动输入）</t>
    <phoneticPr fontId="1" type="noConversion"/>
  </si>
  <si>
    <t>输出计算结果</t>
    <phoneticPr fontId="1" type="noConversion"/>
  </si>
  <si>
    <t>输入值</t>
    <phoneticPr fontId="7" type="noConversion"/>
  </si>
  <si>
    <t>输入值（调用锅炉计算结果）</t>
    <phoneticPr fontId="7" type="noConversion"/>
  </si>
  <si>
    <t>输入值（调用锅炉计算结果,可以手动修改）</t>
    <phoneticPr fontId="7" type="noConversion"/>
  </si>
  <si>
    <t>输入值也可以查询熵焓表</t>
    <phoneticPr fontId="7" type="noConversion"/>
  </si>
  <si>
    <t>调用f24的数据，人为修改</t>
    <phoneticPr fontId="7" type="noConversion"/>
  </si>
  <si>
    <t>输入值（调用锅炉数据，参考右表进行选取）</t>
    <phoneticPr fontId="7" type="noConversion"/>
  </si>
  <si>
    <t>背压       压力</t>
    <phoneticPr fontId="7" type="noConversion"/>
  </si>
  <si>
    <t>回热抽汽经验数据</t>
    <phoneticPr fontId="1" type="noConversion"/>
  </si>
  <si>
    <t>如果只给定压力，此处查询饱和温度</t>
    <phoneticPr fontId="1" type="noConversion"/>
  </si>
  <si>
    <t>如果只给定温度，此处查询饱和压力</t>
    <phoneticPr fontId="1" type="noConversion"/>
  </si>
  <si>
    <t>G3</t>
    <phoneticPr fontId="7" type="noConversion"/>
  </si>
  <si>
    <t>查询熵焓表</t>
    <phoneticPr fontId="7" type="noConversion"/>
  </si>
  <si>
    <t>如果只给定压力，此处按照熵及压力查询焓值；如果只给定温度，此处按照熵及温度查询焓值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</si>
</sst>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0_ "/>
    <numFmt numFmtId="178" formatCode="0_ "/>
    <numFmt numFmtId="179" formatCode="0.0_ "/>
    <numFmt numFmtId="184" formatCode="0.0%"/>
  </numFmts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name val="宋体"/>
      <family val="3"/>
      <charset val="134"/>
    </font>
    <font>
      <vertAlign val="subscript"/>
      <sz val="12"/>
      <name val="Times New Roman"/>
      <family val="1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Times New Roman"/>
      <family val="1"/>
    </font>
    <font>
      <b/>
      <sz val="11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vertAlign val="subscript"/>
      <sz val="11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color indexed="14"/>
      <name val="宋体"/>
      <family val="3"/>
      <charset val="134"/>
    </font>
    <font>
      <b/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4" fillId="0" borderId="0"/>
  </cellStyleXfs>
  <cellXfs count="85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/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10" applyFont="1" applyFill="1" applyBorder="1" applyAlignment="1">
      <alignment horizontal="left" vertical="center" shrinkToFit="1"/>
    </xf>
    <xf numFmtId="177" fontId="12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76" fontId="1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12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left" vertical="center"/>
    </xf>
    <xf numFmtId="176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9" fontId="0" fillId="5" borderId="1" xfId="0" applyNumberForma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9" fontId="10" fillId="5" borderId="1" xfId="0" applyNumberFormat="1" applyFon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0" fontId="0" fillId="0" borderId="0" xfId="0" applyNumberFormat="1" applyBorder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8" fontId="18" fillId="4" borderId="3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176" fontId="21" fillId="0" borderId="1" xfId="0" applyNumberFormat="1" applyFont="1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3" fillId="3" borderId="1" xfId="0" applyNumberFormat="1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76" fontId="12" fillId="0" borderId="8" xfId="0" applyNumberFormat="1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11">
    <cellStyle name="常规" xfId="0" builtinId="0"/>
    <cellStyle name="常规 2" xfId="2"/>
    <cellStyle name="常规 2 2" xfId="5"/>
    <cellStyle name="常规 3" xfId="3"/>
    <cellStyle name="常规 3 2" xfId="6"/>
    <cellStyle name="常规 4" xfId="1"/>
    <cellStyle name="常规 4 2" xfId="7"/>
    <cellStyle name="常规 5" xfId="8"/>
    <cellStyle name="常规 5 2" xfId="9"/>
    <cellStyle name="常规 6" xfId="4"/>
    <cellStyle name="常规_01.烧结发电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133350</xdr:rowOff>
    </xdr:from>
    <xdr:to>
      <xdr:col>14</xdr:col>
      <xdr:colOff>1695450</xdr:colOff>
      <xdr:row>20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33350"/>
          <a:ext cx="9629775" cy="3762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158750</xdr:colOff>
      <xdr:row>0</xdr:row>
      <xdr:rowOff>0</xdr:rowOff>
    </xdr:from>
    <xdr:to>
      <xdr:col>14</xdr:col>
      <xdr:colOff>1653117</xdr:colOff>
      <xdr:row>18</xdr:row>
      <xdr:rowOff>188279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8833" y="0"/>
          <a:ext cx="9294284" cy="36172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217934</xdr:colOff>
      <xdr:row>25</xdr:row>
      <xdr:rowOff>94724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171450"/>
          <a:ext cx="9133334" cy="4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161924</xdr:colOff>
      <xdr:row>26</xdr:row>
      <xdr:rowOff>0</xdr:rowOff>
    </xdr:from>
    <xdr:to>
      <xdr:col>14</xdr:col>
      <xdr:colOff>132219</xdr:colOff>
      <xdr:row>61</xdr:row>
      <xdr:rowOff>123060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7724" y="4457700"/>
          <a:ext cx="8885695" cy="6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61</xdr:row>
      <xdr:rowOff>142875</xdr:rowOff>
    </xdr:from>
    <xdr:to>
      <xdr:col>15</xdr:col>
      <xdr:colOff>236928</xdr:colOff>
      <xdr:row>101</xdr:row>
      <xdr:rowOff>151542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42975" y="10601325"/>
          <a:ext cx="9580953" cy="6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15</xdr:col>
      <xdr:colOff>256029</xdr:colOff>
      <xdr:row>138</xdr:row>
      <xdr:rowOff>27800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71600" y="17487900"/>
          <a:ext cx="9171429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6041;&#26696;&#35745;&#31639;&#21450;&#30456;&#20851;&#26679;&#26412;\1&#12289;&#35745;&#31639;--tbo\&#29028;&#27668;&#21457;&#30005;&#35745;&#31639;--&#24120;&#35268;&#21442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则性热力系统--无高加"/>
      <sheetName val="Sheet1"/>
      <sheetName val="原则性热力系统"/>
      <sheetName val="气体平均定压体积比热容"/>
      <sheetName val="烟焓表"/>
      <sheetName val="常用数据查询"/>
    </sheetNames>
    <sheetDataSet>
      <sheetData sheetId="0" refreshError="1">
        <row r="47">
          <cell r="X47">
            <v>272.5</v>
          </cell>
        </row>
        <row r="51">
          <cell r="D51">
            <v>50</v>
          </cell>
          <cell r="F51">
            <v>1.18</v>
          </cell>
        </row>
        <row r="55">
          <cell r="B55">
            <v>43.761837194026782</v>
          </cell>
          <cell r="G55">
            <v>8.9999999999999993E-3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96"/>
  <sheetViews>
    <sheetView topLeftCell="A25" workbookViewId="0">
      <selection activeCell="J34" sqref="J34"/>
    </sheetView>
  </sheetViews>
  <sheetFormatPr defaultColWidth="9" defaultRowHeight="13.5" x14ac:dyDescent="0.15"/>
  <cols>
    <col min="1" max="1" width="8.625" style="1" customWidth="1"/>
    <col min="2" max="2" width="15.625" style="1" customWidth="1"/>
    <col min="3" max="4" width="8.625" style="1" customWidth="1"/>
    <col min="5" max="5" width="43.875" style="1" customWidth="1"/>
    <col min="6" max="6" width="11.625" style="37" customWidth="1"/>
    <col min="7" max="7" width="42" style="1" customWidth="1"/>
    <col min="8" max="9" width="8.625" style="1" customWidth="1"/>
    <col min="10" max="10" width="10.625" style="1" customWidth="1"/>
    <col min="11" max="11" width="13.75" style="1" customWidth="1"/>
    <col min="12" max="12" width="21" style="1" customWidth="1"/>
    <col min="13" max="13" width="22.875" style="1" customWidth="1"/>
    <col min="14" max="14" width="25.375" style="1" customWidth="1"/>
    <col min="15" max="15" width="25.25" style="1" customWidth="1"/>
    <col min="16" max="16" width="8.625" style="1" customWidth="1"/>
    <col min="17" max="26" width="12.625" style="1" customWidth="1"/>
    <col min="27" max="27" width="10.625" style="1" customWidth="1"/>
    <col min="28" max="16384" width="9" style="1"/>
  </cols>
  <sheetData>
    <row r="1" spans="1:15" x14ac:dyDescent="0.15">
      <c r="A1" s="74" t="s">
        <v>242</v>
      </c>
      <c r="B1" s="75"/>
      <c r="C1" s="75"/>
      <c r="D1" s="75"/>
      <c r="E1" s="75"/>
      <c r="F1" s="77"/>
    </row>
    <row r="2" spans="1:15" ht="18.75" x14ac:dyDescent="0.35">
      <c r="A2" s="6" t="s">
        <v>128</v>
      </c>
      <c r="B2" s="7" t="s">
        <v>129</v>
      </c>
      <c r="C2" s="7" t="s">
        <v>130</v>
      </c>
      <c r="D2" s="7"/>
      <c r="E2" s="7" t="s">
        <v>21</v>
      </c>
      <c r="F2" s="8">
        <v>0.78</v>
      </c>
      <c r="G2" s="67" t="s">
        <v>255</v>
      </c>
    </row>
    <row r="3" spans="1:15" ht="18.75" x14ac:dyDescent="0.35">
      <c r="A3" s="6" t="s">
        <v>2</v>
      </c>
      <c r="B3" s="7" t="s">
        <v>23</v>
      </c>
      <c r="C3" s="7" t="s">
        <v>24</v>
      </c>
      <c r="D3" s="7"/>
      <c r="E3" s="7" t="s">
        <v>21</v>
      </c>
      <c r="F3" s="8">
        <v>0.95</v>
      </c>
      <c r="G3" s="67" t="s">
        <v>255</v>
      </c>
    </row>
    <row r="4" spans="1:15" ht="18.75" x14ac:dyDescent="0.35">
      <c r="A4" s="6" t="s">
        <v>3</v>
      </c>
      <c r="B4" s="7" t="s">
        <v>25</v>
      </c>
      <c r="C4" s="7" t="s">
        <v>26</v>
      </c>
      <c r="D4" s="7"/>
      <c r="E4" s="7" t="s">
        <v>21</v>
      </c>
      <c r="F4" s="8">
        <v>0.97299999999999998</v>
      </c>
      <c r="G4" s="67" t="s">
        <v>255</v>
      </c>
      <c r="K4" s="72"/>
      <c r="L4" s="73"/>
      <c r="M4" s="73"/>
      <c r="N4" s="73"/>
      <c r="O4" s="73"/>
    </row>
    <row r="5" spans="1:15" x14ac:dyDescent="0.15">
      <c r="A5" s="6" t="s">
        <v>4</v>
      </c>
      <c r="B5" s="7" t="s">
        <v>135</v>
      </c>
      <c r="C5" s="7"/>
      <c r="D5" s="9" t="s">
        <v>27</v>
      </c>
      <c r="E5" s="10" t="s">
        <v>28</v>
      </c>
      <c r="F5" s="11">
        <v>8.83</v>
      </c>
      <c r="G5" s="70" t="s">
        <v>262</v>
      </c>
      <c r="K5" s="72"/>
      <c r="L5" s="68"/>
      <c r="M5" s="68"/>
      <c r="N5" s="68"/>
      <c r="O5" s="68"/>
    </row>
    <row r="6" spans="1:15" x14ac:dyDescent="0.15">
      <c r="A6" s="6" t="s">
        <v>5</v>
      </c>
      <c r="B6" s="12" t="s">
        <v>57</v>
      </c>
      <c r="C6" s="7"/>
      <c r="D6" s="9" t="s">
        <v>1</v>
      </c>
      <c r="E6" s="10" t="s">
        <v>58</v>
      </c>
      <c r="F6" s="11">
        <v>540</v>
      </c>
      <c r="G6" s="70" t="s">
        <v>262</v>
      </c>
      <c r="K6" s="68"/>
      <c r="L6" s="71"/>
      <c r="M6" s="71"/>
      <c r="N6" s="71"/>
      <c r="O6" s="71"/>
    </row>
    <row r="7" spans="1:15" x14ac:dyDescent="0.15">
      <c r="A7" s="6" t="s">
        <v>6</v>
      </c>
      <c r="B7" s="13" t="s">
        <v>59</v>
      </c>
      <c r="C7" s="7" t="s">
        <v>126</v>
      </c>
      <c r="D7" s="14" t="s">
        <v>20</v>
      </c>
      <c r="E7" s="15" t="s">
        <v>30</v>
      </c>
      <c r="F7" s="8">
        <v>130</v>
      </c>
      <c r="G7" s="70" t="s">
        <v>259</v>
      </c>
      <c r="K7" s="68"/>
      <c r="L7" s="71"/>
      <c r="M7" s="71"/>
      <c r="N7" s="71"/>
      <c r="O7" s="71"/>
    </row>
    <row r="8" spans="1:15" x14ac:dyDescent="0.15">
      <c r="A8" s="6" t="s">
        <v>8</v>
      </c>
      <c r="B8" s="12" t="s">
        <v>31</v>
      </c>
      <c r="C8" s="7"/>
      <c r="D8" s="9" t="s">
        <v>32</v>
      </c>
      <c r="E8" s="10" t="s">
        <v>42</v>
      </c>
      <c r="F8" s="16">
        <f>_xll.S_PT(F5,F6)</f>
        <v>6.7965621973639525</v>
      </c>
      <c r="I8" s="45"/>
      <c r="K8" s="68"/>
      <c r="L8" s="71"/>
      <c r="M8" s="71"/>
      <c r="N8" s="71"/>
      <c r="O8" s="71"/>
    </row>
    <row r="9" spans="1:15" x14ac:dyDescent="0.15">
      <c r="A9" s="6" t="s">
        <v>9</v>
      </c>
      <c r="B9" s="13" t="s">
        <v>39</v>
      </c>
      <c r="C9" s="10" t="s">
        <v>143</v>
      </c>
      <c r="D9" s="9" t="s">
        <v>40</v>
      </c>
      <c r="E9" s="9" t="s">
        <v>42</v>
      </c>
      <c r="F9" s="8">
        <f>_xll.H_PT($F$5,$F$6)</f>
        <v>3488.9820780514765</v>
      </c>
    </row>
    <row r="10" spans="1:15" ht="15" x14ac:dyDescent="0.15">
      <c r="A10" s="6" t="s">
        <v>10</v>
      </c>
      <c r="B10" s="17" t="s">
        <v>244</v>
      </c>
      <c r="C10" s="18" t="s">
        <v>73</v>
      </c>
      <c r="D10" s="9" t="s">
        <v>27</v>
      </c>
      <c r="E10" s="9" t="s">
        <v>58</v>
      </c>
      <c r="F10" s="11">
        <v>0.2</v>
      </c>
      <c r="G10" s="70" t="s">
        <v>257</v>
      </c>
    </row>
    <row r="11" spans="1:15" x14ac:dyDescent="0.15">
      <c r="A11" s="6" t="s">
        <v>11</v>
      </c>
      <c r="B11" s="12" t="s">
        <v>57</v>
      </c>
      <c r="C11" s="7"/>
      <c r="D11" s="9" t="s">
        <v>1</v>
      </c>
      <c r="E11" s="9" t="s">
        <v>42</v>
      </c>
      <c r="F11" s="8">
        <f>_xll.T_PS($F$10,$F$12)</f>
        <v>120.21154916847178</v>
      </c>
      <c r="G11" s="70" t="s">
        <v>260</v>
      </c>
    </row>
    <row r="12" spans="1:15" x14ac:dyDescent="0.15">
      <c r="A12" s="6" t="s">
        <v>12</v>
      </c>
      <c r="B12" s="20" t="s">
        <v>31</v>
      </c>
      <c r="C12" s="10" t="s">
        <v>35</v>
      </c>
      <c r="D12" s="9" t="s">
        <v>32</v>
      </c>
      <c r="E12" s="9" t="s">
        <v>37</v>
      </c>
      <c r="F12" s="8">
        <f>F8</f>
        <v>6.7965621973639525</v>
      </c>
      <c r="G12" s="45"/>
    </row>
    <row r="13" spans="1:15" x14ac:dyDescent="0.15">
      <c r="A13" s="6" t="s">
        <v>13</v>
      </c>
      <c r="B13" s="20" t="s">
        <v>39</v>
      </c>
      <c r="C13" s="10" t="s">
        <v>62</v>
      </c>
      <c r="D13" s="9" t="s">
        <v>40</v>
      </c>
      <c r="E13" s="9" t="s">
        <v>42</v>
      </c>
      <c r="F13" s="8">
        <f>_xll.H_PS($F$10,$F$12)</f>
        <v>2576.315831975322</v>
      </c>
    </row>
    <row r="14" spans="1:15" x14ac:dyDescent="0.15">
      <c r="A14" s="6" t="s">
        <v>14</v>
      </c>
      <c r="B14" s="20" t="s">
        <v>39</v>
      </c>
      <c r="C14" s="10" t="s">
        <v>62</v>
      </c>
      <c r="D14" s="9" t="s">
        <v>40</v>
      </c>
      <c r="E14" s="9" t="s">
        <v>42</v>
      </c>
      <c r="F14" s="8">
        <f>_xll.H_PS($F$10,$F$12)</f>
        <v>2576.315831975322</v>
      </c>
    </row>
    <row r="15" spans="1:15" ht="20.100000000000001" customHeight="1" x14ac:dyDescent="0.15">
      <c r="A15" s="6" t="s">
        <v>15</v>
      </c>
      <c r="B15" s="13" t="s">
        <v>59</v>
      </c>
      <c r="C15" s="7" t="s">
        <v>79</v>
      </c>
      <c r="D15" s="14" t="s">
        <v>20</v>
      </c>
      <c r="E15" s="21"/>
      <c r="F15" s="22">
        <v>0</v>
      </c>
      <c r="G15" s="70" t="s">
        <v>257</v>
      </c>
    </row>
    <row r="16" spans="1:15" s="23" customFormat="1" x14ac:dyDescent="0.15">
      <c r="A16" s="6" t="s">
        <v>16</v>
      </c>
      <c r="B16" s="10" t="s">
        <v>245</v>
      </c>
      <c r="C16" s="10" t="s">
        <v>155</v>
      </c>
      <c r="D16" s="14" t="s">
        <v>20</v>
      </c>
      <c r="E16" s="9" t="s">
        <v>156</v>
      </c>
      <c r="F16" s="8">
        <f>F7-F15</f>
        <v>130</v>
      </c>
    </row>
    <row r="17" spans="1:28" s="23" customFormat="1" ht="15" x14ac:dyDescent="0.15">
      <c r="A17" s="6" t="s">
        <v>17</v>
      </c>
      <c r="B17" s="13" t="s">
        <v>157</v>
      </c>
      <c r="C17" s="18" t="s">
        <v>73</v>
      </c>
      <c r="D17" s="9" t="s">
        <v>27</v>
      </c>
      <c r="E17" s="9"/>
      <c r="F17" s="8">
        <f>F10</f>
        <v>0.2</v>
      </c>
    </row>
    <row r="18" spans="1:28" s="23" customFormat="1" ht="16.5" x14ac:dyDescent="0.15">
      <c r="A18" s="6" t="s">
        <v>38</v>
      </c>
      <c r="B18" s="13" t="s">
        <v>39</v>
      </c>
      <c r="C18" s="10" t="s">
        <v>159</v>
      </c>
      <c r="D18" s="9" t="s">
        <v>40</v>
      </c>
      <c r="E18" s="9" t="s">
        <v>161</v>
      </c>
      <c r="F18" s="8">
        <f>F14</f>
        <v>2576.315831975322</v>
      </c>
    </row>
    <row r="19" spans="1:28" s="23" customFormat="1" ht="16.5" x14ac:dyDescent="0.15">
      <c r="A19" s="6" t="s">
        <v>41</v>
      </c>
      <c r="B19" s="13" t="s">
        <v>31</v>
      </c>
      <c r="C19" s="10" t="s">
        <v>163</v>
      </c>
      <c r="D19" s="9" t="s">
        <v>32</v>
      </c>
      <c r="E19" s="9" t="s">
        <v>42</v>
      </c>
      <c r="F19" s="8">
        <f>F8</f>
        <v>6.7965621973639525</v>
      </c>
    </row>
    <row r="20" spans="1:28" ht="20.100000000000001" customHeight="1" x14ac:dyDescent="0.15">
      <c r="A20" s="6" t="s">
        <v>43</v>
      </c>
      <c r="B20" s="7" t="s">
        <v>166</v>
      </c>
      <c r="C20" s="10" t="s">
        <v>44</v>
      </c>
      <c r="D20" s="14" t="s">
        <v>27</v>
      </c>
      <c r="E20" s="9" t="s">
        <v>46</v>
      </c>
      <c r="F20" s="19">
        <v>8.9999999999999993E-3</v>
      </c>
      <c r="G20" s="67" t="s">
        <v>255</v>
      </c>
    </row>
    <row r="21" spans="1:28" ht="20.100000000000001" customHeight="1" x14ac:dyDescent="0.15">
      <c r="A21" s="6" t="s">
        <v>47</v>
      </c>
      <c r="B21" s="12" t="s">
        <v>39</v>
      </c>
      <c r="C21" s="10" t="s">
        <v>48</v>
      </c>
      <c r="D21" s="9" t="s">
        <v>40</v>
      </c>
      <c r="E21" s="9" t="s">
        <v>49</v>
      </c>
      <c r="F21" s="8">
        <f>_xll.H_PS($F$20,$F$19)</f>
        <v>2139.9466702642421</v>
      </c>
    </row>
    <row r="22" spans="1:28" ht="20.100000000000001" customHeight="1" x14ac:dyDescent="0.15">
      <c r="A22" s="6" t="s">
        <v>50</v>
      </c>
      <c r="B22" s="9" t="s">
        <v>171</v>
      </c>
      <c r="C22" s="9" t="s">
        <v>18</v>
      </c>
      <c r="D22" s="9" t="s">
        <v>19</v>
      </c>
      <c r="E22" s="2"/>
      <c r="F22" s="69">
        <f>F2*F3*F4/3.6*(F7*(F9-F13)+F16*(F18-F21))</f>
        <v>35123.294763799</v>
      </c>
    </row>
    <row r="23" spans="1:28" ht="20.100000000000001" customHeight="1" x14ac:dyDescent="0.15">
      <c r="A23" s="6" t="s">
        <v>51</v>
      </c>
      <c r="B23" s="24" t="s">
        <v>174</v>
      </c>
      <c r="C23" s="9" t="s">
        <v>18</v>
      </c>
      <c r="D23" s="9" t="s">
        <v>175</v>
      </c>
      <c r="E23" s="2" t="s">
        <v>176</v>
      </c>
      <c r="F23" s="69">
        <f>0.85*F22/1000</f>
        <v>29.85480054922915</v>
      </c>
    </row>
    <row r="24" spans="1:28" ht="20.100000000000001" customHeight="1" x14ac:dyDescent="0.15">
      <c r="A24" s="6" t="s">
        <v>52</v>
      </c>
      <c r="B24" s="24" t="s">
        <v>177</v>
      </c>
      <c r="C24" s="9" t="s">
        <v>18</v>
      </c>
      <c r="D24" s="9" t="s">
        <v>175</v>
      </c>
      <c r="E24" s="4"/>
      <c r="F24" s="55">
        <v>73</v>
      </c>
      <c r="G24" s="70" t="s">
        <v>261</v>
      </c>
    </row>
    <row r="25" spans="1:28" ht="20.100000000000001" customHeight="1" x14ac:dyDescent="0.15">
      <c r="A25" s="6" t="s">
        <v>53</v>
      </c>
      <c r="B25" s="25" t="s">
        <v>178</v>
      </c>
      <c r="C25" s="26"/>
      <c r="D25" s="26"/>
      <c r="E25" s="27"/>
      <c r="F25" s="48">
        <v>0.03</v>
      </c>
      <c r="G25" s="67" t="s">
        <v>255</v>
      </c>
    </row>
    <row r="26" spans="1:28" ht="20.100000000000001" customHeight="1" x14ac:dyDescent="0.15">
      <c r="A26" s="60"/>
      <c r="B26" s="61" t="s">
        <v>252</v>
      </c>
      <c r="C26" s="62"/>
      <c r="D26" s="62" t="s">
        <v>0</v>
      </c>
      <c r="E26" s="63" t="s">
        <v>254</v>
      </c>
      <c r="F26" s="64">
        <v>300</v>
      </c>
      <c r="G26" s="70" t="s">
        <v>259</v>
      </c>
    </row>
    <row r="27" spans="1:28" ht="20.100000000000001" customHeight="1" x14ac:dyDescent="0.15">
      <c r="A27" s="78" t="s">
        <v>243</v>
      </c>
      <c r="B27" s="79"/>
      <c r="C27" s="79"/>
      <c r="D27" s="79"/>
      <c r="E27" s="79"/>
      <c r="F27" s="79"/>
      <c r="G27" s="79"/>
      <c r="H27" s="79"/>
      <c r="I27" s="79"/>
      <c r="J27" s="79"/>
      <c r="K27" s="80"/>
    </row>
    <row r="28" spans="1:28" ht="20.100000000000001" customHeight="1" x14ac:dyDescent="0.15">
      <c r="A28" s="81" t="s">
        <v>179</v>
      </c>
      <c r="B28" s="82"/>
      <c r="C28" s="82"/>
      <c r="D28" s="82"/>
      <c r="E28" s="82"/>
      <c r="F28" s="82"/>
      <c r="G28" s="82"/>
      <c r="H28" s="82"/>
      <c r="I28" s="82"/>
      <c r="J28" s="82"/>
      <c r="K28" s="83"/>
    </row>
    <row r="29" spans="1:28" s="30" customFormat="1" ht="34.5" customHeight="1" x14ac:dyDescent="0.15">
      <c r="A29" s="28" t="s">
        <v>121</v>
      </c>
      <c r="B29" s="29" t="s">
        <v>180</v>
      </c>
      <c r="C29" s="29" t="s">
        <v>181</v>
      </c>
      <c r="D29" s="29" t="s">
        <v>182</v>
      </c>
      <c r="E29" s="29" t="s">
        <v>183</v>
      </c>
      <c r="F29" s="49" t="s">
        <v>54</v>
      </c>
      <c r="G29" s="28" t="s">
        <v>185</v>
      </c>
      <c r="H29" s="28" t="s">
        <v>186</v>
      </c>
      <c r="I29" s="28" t="s">
        <v>187</v>
      </c>
      <c r="J29" s="28" t="s">
        <v>188</v>
      </c>
      <c r="K29" s="28" t="s">
        <v>189</v>
      </c>
      <c r="L29" s="1"/>
      <c r="M29" s="1"/>
      <c r="N29" s="1"/>
      <c r="X29" s="30" t="e">
        <f ca="1">HL_T('[1]原则性热力系统--无高加'!$X$47)</f>
        <v>#NAME?</v>
      </c>
    </row>
    <row r="30" spans="1:28" s="30" customFormat="1" ht="21.75" customHeight="1" x14ac:dyDescent="0.15">
      <c r="A30" s="28" t="s">
        <v>7</v>
      </c>
      <c r="B30" s="29" t="s">
        <v>191</v>
      </c>
      <c r="C30" s="29" t="s">
        <v>192</v>
      </c>
      <c r="D30" s="29" t="s">
        <v>193</v>
      </c>
      <c r="E30" s="29" t="s">
        <v>194</v>
      </c>
      <c r="F30" s="49" t="s">
        <v>195</v>
      </c>
      <c r="G30" s="28" t="s">
        <v>196</v>
      </c>
      <c r="H30" s="28" t="s">
        <v>197</v>
      </c>
      <c r="I30" s="28" t="s">
        <v>198</v>
      </c>
      <c r="J30" s="28" t="s">
        <v>199</v>
      </c>
      <c r="K30" s="28" t="s">
        <v>200</v>
      </c>
      <c r="V30" s="30">
        <f t="shared" ref="V30:V36" si="0">W30-W31</f>
        <v>148.60000000000014</v>
      </c>
      <c r="W30" s="30">
        <v>1193.4000000000001</v>
      </c>
      <c r="X30" s="30">
        <v>272.5</v>
      </c>
      <c r="Y30" s="30">
        <f t="shared" ref="Y30:Y36" si="1">X30-X31</f>
        <v>31.5</v>
      </c>
      <c r="AA30" s="30">
        <v>3137.5</v>
      </c>
      <c r="AB30" s="30">
        <f t="shared" ref="AB30:AB36" si="2">AA30-AA31</f>
        <v>117.5</v>
      </c>
    </row>
    <row r="31" spans="1:28" s="30" customFormat="1" ht="19.5" customHeight="1" x14ac:dyDescent="0.15">
      <c r="A31" s="28" t="s">
        <v>201</v>
      </c>
      <c r="B31" s="29" t="s">
        <v>1</v>
      </c>
      <c r="C31" s="29" t="s">
        <v>203</v>
      </c>
      <c r="D31" s="29" t="s">
        <v>1</v>
      </c>
      <c r="E31" s="29" t="s">
        <v>1</v>
      </c>
      <c r="F31" s="50" t="s">
        <v>1</v>
      </c>
      <c r="G31" s="28" t="s">
        <v>27</v>
      </c>
      <c r="H31" s="28" t="s">
        <v>27</v>
      </c>
      <c r="I31" s="28" t="s">
        <v>27</v>
      </c>
      <c r="J31" s="29" t="s">
        <v>203</v>
      </c>
      <c r="K31" s="28" t="s">
        <v>20</v>
      </c>
      <c r="V31" s="30">
        <f t="shared" si="0"/>
        <v>186.29999999999995</v>
      </c>
      <c r="W31" s="30">
        <v>1044.8</v>
      </c>
      <c r="X31" s="30">
        <v>241</v>
      </c>
      <c r="Y31" s="30">
        <f t="shared" si="1"/>
        <v>41.400000000000006</v>
      </c>
      <c r="AA31" s="30">
        <v>3020</v>
      </c>
      <c r="AB31" s="30">
        <f t="shared" si="2"/>
        <v>-305</v>
      </c>
    </row>
    <row r="32" spans="1:28" s="36" customFormat="1" ht="20.100000000000001" customHeight="1" x14ac:dyDescent="0.15">
      <c r="A32" s="31" t="s">
        <v>204</v>
      </c>
      <c r="B32" s="32">
        <v>215</v>
      </c>
      <c r="C32" s="33">
        <f>_xll.HL_T($B$32)</f>
        <v>920.60856642728231</v>
      </c>
      <c r="D32" s="34">
        <v>2.8</v>
      </c>
      <c r="E32" s="33">
        <f>B32+D32</f>
        <v>217.8</v>
      </c>
      <c r="F32" s="51">
        <f>_xll.HL_T($E$32)</f>
        <v>933.48758109181199</v>
      </c>
      <c r="G32" s="33">
        <f>_xll.P_T(E32)</f>
        <v>2.2232704725985939</v>
      </c>
      <c r="H32" s="35">
        <v>0.08</v>
      </c>
      <c r="I32" s="33">
        <f>G32/(1-H32)</f>
        <v>2.4165983397810802</v>
      </c>
      <c r="J32" s="33">
        <f>_xll.H_PS($I$32,$F$8)</f>
        <v>3089.6754159269049</v>
      </c>
      <c r="K32" s="33">
        <f>(F26)*(C32-C33)/(J32-F32)/0.98</f>
        <v>18.010951273015337</v>
      </c>
      <c r="M32" s="37"/>
      <c r="U32" s="30"/>
      <c r="V32" s="30">
        <f t="shared" si="0"/>
        <v>146.29999999999995</v>
      </c>
      <c r="W32" s="36">
        <v>858.5</v>
      </c>
      <c r="X32" s="36">
        <v>199.6</v>
      </c>
      <c r="Y32" s="30">
        <f t="shared" si="1"/>
        <v>31.199999999999989</v>
      </c>
      <c r="AA32" s="36">
        <v>3325</v>
      </c>
      <c r="AB32" s="30">
        <f t="shared" si="2"/>
        <v>195.59999999999991</v>
      </c>
    </row>
    <row r="33" spans="1:28" s="36" customFormat="1" ht="20.100000000000001" customHeight="1" x14ac:dyDescent="0.15">
      <c r="A33" s="31" t="s">
        <v>205</v>
      </c>
      <c r="B33" s="38">
        <f>ROUND(B32-(B32-B35)/2,0)</f>
        <v>187</v>
      </c>
      <c r="C33" s="33">
        <f>C32-(C32-C35)/2</f>
        <v>793.74758593358354</v>
      </c>
      <c r="D33" s="34">
        <v>2.8</v>
      </c>
      <c r="E33" s="33">
        <f>B33+D33</f>
        <v>189.8</v>
      </c>
      <c r="F33" s="51">
        <f>_xll.HL_T($E$33)</f>
        <v>806.67423665331</v>
      </c>
      <c r="G33" s="33">
        <f>_xll.P_T(E33)</f>
        <v>1.2495257656589573</v>
      </c>
      <c r="H33" s="35">
        <v>0.08</v>
      </c>
      <c r="I33" s="33">
        <f>G33/(1-H33)</f>
        <v>1.358180180064084</v>
      </c>
      <c r="J33" s="33">
        <f>_xll.H_PS($I$33,$F$8)</f>
        <v>2946.0587257209595</v>
      </c>
      <c r="K33" s="33">
        <f>((F26)*(C33-C35)-K32*0.98*(F32-F33))/(J33-F33)/0.98</f>
        <v>17.084804179898658</v>
      </c>
      <c r="M33" s="37"/>
      <c r="U33" s="30"/>
      <c r="V33" s="30">
        <f t="shared" si="0"/>
        <v>152.5</v>
      </c>
      <c r="W33" s="36">
        <v>712.2</v>
      </c>
      <c r="X33" s="36">
        <v>168.4</v>
      </c>
      <c r="Y33" s="30">
        <f t="shared" si="1"/>
        <v>35.400000000000006</v>
      </c>
      <c r="AA33" s="36">
        <v>3129.4</v>
      </c>
      <c r="AB33" s="30">
        <f t="shared" si="2"/>
        <v>199.30000000000018</v>
      </c>
    </row>
    <row r="34" spans="1:28" s="36" customFormat="1" ht="20.100000000000001" customHeight="1" x14ac:dyDescent="0.15">
      <c r="A34" s="39" t="s">
        <v>206</v>
      </c>
      <c r="B34" s="40" t="s">
        <v>207</v>
      </c>
      <c r="C34" s="40" t="s">
        <v>208</v>
      </c>
      <c r="D34" s="40">
        <v>50</v>
      </c>
      <c r="E34" s="40" t="s">
        <v>209</v>
      </c>
      <c r="F34" s="52">
        <f>2*G35</f>
        <v>1.1759999999999999</v>
      </c>
      <c r="G34" s="40" t="s">
        <v>210</v>
      </c>
      <c r="H34" s="40">
        <f>_xll.H_PT('[1]原则性热力系统--无高加'!$F$51,'[1]原则性热力系统--无高加'!$D$51)</f>
        <v>210.34310024561859</v>
      </c>
      <c r="I34" s="40" t="s">
        <v>211</v>
      </c>
      <c r="J34" s="41" t="e">
        <f>F25+#REF!</f>
        <v>#REF!</v>
      </c>
      <c r="K34" s="33"/>
      <c r="M34" s="37"/>
      <c r="U34" s="30"/>
      <c r="V34" s="30">
        <f t="shared" si="0"/>
        <v>124.30000000000007</v>
      </c>
      <c r="W34" s="36">
        <v>559.70000000000005</v>
      </c>
      <c r="X34" s="36">
        <v>133</v>
      </c>
      <c r="Y34" s="30">
        <f t="shared" si="1"/>
        <v>29.299999999999997</v>
      </c>
      <c r="AA34" s="36">
        <v>2930.1</v>
      </c>
      <c r="AB34" s="30">
        <f t="shared" si="2"/>
        <v>175.90000000000009</v>
      </c>
    </row>
    <row r="35" spans="1:28" s="36" customFormat="1" ht="20.100000000000001" customHeight="1" x14ac:dyDescent="0.15">
      <c r="A35" s="31" t="s">
        <v>212</v>
      </c>
      <c r="B35" s="42">
        <v>158</v>
      </c>
      <c r="C35" s="33">
        <f>_xll.HL_T($B$35)</f>
        <v>666.88660543988476</v>
      </c>
      <c r="D35" s="34"/>
      <c r="E35" s="33"/>
      <c r="F35" s="51"/>
      <c r="G35" s="43">
        <v>0.58799999999999997</v>
      </c>
      <c r="H35" s="35">
        <v>0.08</v>
      </c>
      <c r="I35" s="33">
        <f>G35/(1-H35)</f>
        <v>0.63913043478260867</v>
      </c>
      <c r="J35" s="33">
        <f>_xll.H_PS($I$35,$F$8)</f>
        <v>2784.7049632221642</v>
      </c>
      <c r="K35" s="33" t="e">
        <f>(F26*J34*(C35-H34)+(F26-K32-K33-F26*J34)*(C35-C36)-(K32+K33)*(F33-C35)*0.98)/((J35-C35)*0.98+(C35-C36))</f>
        <v>#REF!</v>
      </c>
      <c r="M35" s="37"/>
      <c r="U35" s="30"/>
      <c r="V35" s="30">
        <f t="shared" si="0"/>
        <v>84.199999999999989</v>
      </c>
      <c r="W35" s="36">
        <v>435.4</v>
      </c>
      <c r="X35" s="36">
        <v>103.7</v>
      </c>
      <c r="Y35" s="30">
        <f t="shared" si="1"/>
        <v>20.100000000000009</v>
      </c>
      <c r="AA35" s="36">
        <v>2754.2</v>
      </c>
      <c r="AB35" s="30">
        <f t="shared" si="2"/>
        <v>118.59999999999991</v>
      </c>
    </row>
    <row r="36" spans="1:28" s="36" customFormat="1" ht="20.100000000000001" customHeight="1" x14ac:dyDescent="0.15">
      <c r="A36" s="31" t="s">
        <v>213</v>
      </c>
      <c r="B36" s="38">
        <f>ROUND(B35-(B35-B38)/3,0)</f>
        <v>120</v>
      </c>
      <c r="C36" s="33">
        <f>C35-(C35-C38)/3</f>
        <v>505.67855576725356</v>
      </c>
      <c r="D36" s="34">
        <v>2.8</v>
      </c>
      <c r="E36" s="33">
        <f>B36+D36</f>
        <v>122.8</v>
      </c>
      <c r="F36" s="51">
        <f>_xll.HL_T($E$36)</f>
        <v>515.69400876810801</v>
      </c>
      <c r="G36" s="33">
        <f>_xll.P_T(E36)</f>
        <v>0.21693135193339991</v>
      </c>
      <c r="H36" s="35">
        <v>0.08</v>
      </c>
      <c r="I36" s="33">
        <f>G36/(1-H36)</f>
        <v>0.23579494775369556</v>
      </c>
      <c r="J36" s="33">
        <f>_xll.H_PS($I$36,$F$19)</f>
        <v>2604.0361292333741</v>
      </c>
      <c r="K36" s="33" t="e">
        <f>(F26-K35-K33-K32-J34*(F26))*(C36-C37)/(J36-F36)/0.98</f>
        <v>#REF!</v>
      </c>
      <c r="M36" s="37"/>
      <c r="U36" s="30"/>
      <c r="V36" s="30">
        <f t="shared" si="0"/>
        <v>93.099999999999966</v>
      </c>
      <c r="W36" s="36">
        <v>351.2</v>
      </c>
      <c r="X36" s="36">
        <v>83.6</v>
      </c>
      <c r="Y36" s="30">
        <f t="shared" si="1"/>
        <v>22.199999999999996</v>
      </c>
      <c r="AA36" s="36">
        <v>2635.6</v>
      </c>
      <c r="AB36" s="30">
        <f t="shared" si="2"/>
        <v>127.5</v>
      </c>
    </row>
    <row r="37" spans="1:28" s="36" customFormat="1" ht="20.100000000000001" customHeight="1" x14ac:dyDescent="0.15">
      <c r="A37" s="31" t="s">
        <v>214</v>
      </c>
      <c r="B37" s="38">
        <f>ROUND(B36-(B35-B38)/3,0)</f>
        <v>82</v>
      </c>
      <c r="C37" s="33">
        <f>C36-(C35-C38)/3</f>
        <v>344.47050609462235</v>
      </c>
      <c r="D37" s="34">
        <v>2.8</v>
      </c>
      <c r="E37" s="33">
        <f>B37+D37</f>
        <v>84.8</v>
      </c>
      <c r="F37" s="51">
        <f>_xll.HL_T(E37)</f>
        <v>355.10572427774986</v>
      </c>
      <c r="G37" s="33">
        <f>_xll.P_T(E37)</f>
        <v>5.7415181346206337E-2</v>
      </c>
      <c r="H37" s="35">
        <v>0.08</v>
      </c>
      <c r="I37" s="33">
        <f>G37/(1-H37)</f>
        <v>6.2407805811093842E-2</v>
      </c>
      <c r="J37" s="33">
        <f>_xll.H_PS($I$37,$F$19)</f>
        <v>2394.8177144506244</v>
      </c>
      <c r="K37" s="33" t="e">
        <f>((F26-K35-K33-K32-J34*(F26))*(C37-C38)-0.98*K36*(F36-F37))/0.98/(J37-F37)</f>
        <v>#REF!</v>
      </c>
      <c r="M37" s="37"/>
      <c r="U37" s="30"/>
      <c r="V37" s="30" t="e">
        <f>W37-#REF!</f>
        <v>#REF!</v>
      </c>
      <c r="W37" s="36">
        <v>258.10000000000002</v>
      </c>
      <c r="X37" s="36">
        <v>61.4</v>
      </c>
      <c r="Y37" s="30" t="e">
        <f>X37-#REF!</f>
        <v>#REF!</v>
      </c>
      <c r="AA37" s="36">
        <v>2508.1</v>
      </c>
      <c r="AB37" s="30" t="e">
        <f>AA37-#REF!</f>
        <v>#REF!</v>
      </c>
    </row>
    <row r="38" spans="1:28" s="36" customFormat="1" ht="20.100000000000001" customHeight="1" x14ac:dyDescent="0.15">
      <c r="A38" s="31" t="s">
        <v>215</v>
      </c>
      <c r="B38" s="38">
        <f>_xll.T_P('[1]原则性热力系统--无高加'!$G$55)</f>
        <v>43.761837194026782</v>
      </c>
      <c r="C38" s="33">
        <f>_xll.H_PT('[1]原则性热力系统--无高加'!$G$55,'[1]原则性热力系统--无高加'!$B$55)</f>
        <v>183.26245642199117</v>
      </c>
      <c r="D38" s="34"/>
      <c r="E38" s="38"/>
      <c r="F38" s="51"/>
      <c r="G38" s="34">
        <v>8.9999999999999993E-3</v>
      </c>
      <c r="H38" s="34"/>
      <c r="I38" s="34"/>
      <c r="J38" s="34"/>
      <c r="K38" s="34"/>
      <c r="L38" s="1"/>
    </row>
    <row r="39" spans="1:28" ht="20.100000000000001" customHeight="1" x14ac:dyDescent="0.15">
      <c r="A39" s="84" t="s">
        <v>216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</row>
    <row r="40" spans="1:28" ht="20.100000000000001" customHeight="1" x14ac:dyDescent="0.1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</row>
    <row r="41" spans="1:28" ht="20.100000000000001" customHeight="1" x14ac:dyDescent="0.15">
      <c r="A41" s="74" t="s">
        <v>251</v>
      </c>
      <c r="B41" s="75"/>
      <c r="C41" s="75"/>
      <c r="D41" s="75"/>
      <c r="E41" s="75"/>
      <c r="F41" s="76"/>
    </row>
    <row r="42" spans="1:28" ht="20.100000000000001" customHeight="1" x14ac:dyDescent="0.35">
      <c r="A42" s="6" t="s">
        <v>128</v>
      </c>
      <c r="B42" s="7" t="s">
        <v>129</v>
      </c>
      <c r="C42" s="7" t="s">
        <v>130</v>
      </c>
      <c r="D42" s="7"/>
      <c r="E42" s="7" t="s">
        <v>21</v>
      </c>
      <c r="F42" s="8">
        <v>0.82</v>
      </c>
      <c r="G42" s="67" t="s">
        <v>255</v>
      </c>
    </row>
    <row r="43" spans="1:28" ht="20.100000000000001" customHeight="1" x14ac:dyDescent="0.35">
      <c r="A43" s="6" t="s">
        <v>2</v>
      </c>
      <c r="B43" s="7" t="s">
        <v>23</v>
      </c>
      <c r="C43" s="7" t="s">
        <v>24</v>
      </c>
      <c r="D43" s="7"/>
      <c r="E43" s="7" t="s">
        <v>21</v>
      </c>
      <c r="F43" s="8">
        <f>F3</f>
        <v>0.95</v>
      </c>
      <c r="G43" s="67" t="s">
        <v>255</v>
      </c>
    </row>
    <row r="44" spans="1:28" ht="20.100000000000001" customHeight="1" x14ac:dyDescent="0.35">
      <c r="A44" s="6" t="s">
        <v>3</v>
      </c>
      <c r="B44" s="7" t="s">
        <v>25</v>
      </c>
      <c r="C44" s="7" t="s">
        <v>26</v>
      </c>
      <c r="D44" s="7"/>
      <c r="E44" s="7" t="s">
        <v>21</v>
      </c>
      <c r="F44" s="8">
        <f>F4</f>
        <v>0.97299999999999998</v>
      </c>
      <c r="G44" s="67" t="s">
        <v>255</v>
      </c>
    </row>
    <row r="45" spans="1:28" ht="20.100000000000001" customHeight="1" x14ac:dyDescent="0.15">
      <c r="A45" s="6" t="s">
        <v>4</v>
      </c>
      <c r="B45" s="7" t="s">
        <v>220</v>
      </c>
      <c r="C45" s="7"/>
      <c r="D45" s="9" t="s">
        <v>27</v>
      </c>
      <c r="E45" s="10" t="s">
        <v>28</v>
      </c>
      <c r="F45" s="69">
        <f>F5</f>
        <v>8.83</v>
      </c>
      <c r="G45" s="70" t="s">
        <v>258</v>
      </c>
    </row>
    <row r="46" spans="1:28" ht="20.100000000000001" customHeight="1" x14ac:dyDescent="0.15">
      <c r="A46" s="6" t="s">
        <v>5</v>
      </c>
      <c r="B46" s="12" t="s">
        <v>57</v>
      </c>
      <c r="C46" s="7"/>
      <c r="D46" s="9" t="s">
        <v>1</v>
      </c>
      <c r="E46" s="10" t="s">
        <v>58</v>
      </c>
      <c r="F46" s="69">
        <f>F6</f>
        <v>540</v>
      </c>
      <c r="G46" s="70" t="s">
        <v>258</v>
      </c>
    </row>
    <row r="47" spans="1:28" ht="20.100000000000001" customHeight="1" x14ac:dyDescent="0.15">
      <c r="A47" s="6" t="s">
        <v>6</v>
      </c>
      <c r="B47" s="13" t="s">
        <v>59</v>
      </c>
      <c r="C47" s="7" t="s">
        <v>126</v>
      </c>
      <c r="D47" s="14" t="s">
        <v>20</v>
      </c>
      <c r="E47" s="15" t="s">
        <v>30</v>
      </c>
      <c r="F47" s="69">
        <v>300</v>
      </c>
      <c r="G47" s="70" t="s">
        <v>259</v>
      </c>
    </row>
    <row r="48" spans="1:28" x14ac:dyDescent="0.15">
      <c r="A48" s="6" t="s">
        <v>8</v>
      </c>
      <c r="B48" s="12" t="s">
        <v>31</v>
      </c>
      <c r="C48" s="7"/>
      <c r="D48" s="9" t="s">
        <v>32</v>
      </c>
      <c r="E48" s="10" t="s">
        <v>42</v>
      </c>
      <c r="F48" s="69">
        <f>_xll.S_PT($F$45,$F$46)</f>
        <v>6.7965621973639525</v>
      </c>
    </row>
    <row r="49" spans="1:7" x14ac:dyDescent="0.15">
      <c r="A49" s="6" t="s">
        <v>9</v>
      </c>
      <c r="B49" s="13" t="s">
        <v>39</v>
      </c>
      <c r="C49" s="10" t="s">
        <v>143</v>
      </c>
      <c r="D49" s="9" t="s">
        <v>40</v>
      </c>
      <c r="E49" s="9" t="s">
        <v>42</v>
      </c>
      <c r="F49" s="69">
        <f>_xll.H_PT($F$45,$F$46)</f>
        <v>3488.9820780514765</v>
      </c>
    </row>
    <row r="50" spans="1:7" x14ac:dyDescent="0.15">
      <c r="A50" s="6" t="s">
        <v>10</v>
      </c>
      <c r="B50" s="2" t="s">
        <v>229</v>
      </c>
      <c r="C50" s="2"/>
      <c r="D50" s="9" t="s">
        <v>27</v>
      </c>
      <c r="E50" s="2"/>
      <c r="F50" s="69">
        <f>I32</f>
        <v>2.4165983397810802</v>
      </c>
    </row>
    <row r="51" spans="1:7" x14ac:dyDescent="0.15">
      <c r="A51" s="6" t="s">
        <v>11</v>
      </c>
      <c r="B51" s="20" t="s">
        <v>31</v>
      </c>
      <c r="C51" s="10" t="s">
        <v>35</v>
      </c>
      <c r="D51" s="9" t="s">
        <v>32</v>
      </c>
      <c r="E51" s="9" t="s">
        <v>37</v>
      </c>
      <c r="F51" s="69">
        <f>F48</f>
        <v>6.7965621973639525</v>
      </c>
    </row>
    <row r="52" spans="1:7" x14ac:dyDescent="0.15">
      <c r="A52" s="6" t="s">
        <v>12</v>
      </c>
      <c r="B52" s="12" t="s">
        <v>57</v>
      </c>
      <c r="C52" s="7"/>
      <c r="D52" s="9" t="s">
        <v>1</v>
      </c>
      <c r="E52" s="9" t="s">
        <v>42</v>
      </c>
      <c r="F52" s="69">
        <f>_xll.T_PS($F$50,$F$51)</f>
        <v>332.95203764991516</v>
      </c>
    </row>
    <row r="53" spans="1:7" x14ac:dyDescent="0.15">
      <c r="A53" s="6" t="s">
        <v>13</v>
      </c>
      <c r="B53" s="20" t="s">
        <v>39</v>
      </c>
      <c r="C53" s="10" t="s">
        <v>62</v>
      </c>
      <c r="D53" s="9" t="s">
        <v>40</v>
      </c>
      <c r="E53" s="9" t="s">
        <v>42</v>
      </c>
      <c r="F53" s="69">
        <f>_xll.H_PS($F$50,$F$51)</f>
        <v>3089.6754159269049</v>
      </c>
    </row>
    <row r="54" spans="1:7" x14ac:dyDescent="0.15">
      <c r="A54" s="6" t="s">
        <v>14</v>
      </c>
      <c r="B54" s="13" t="s">
        <v>59</v>
      </c>
      <c r="C54" s="7" t="s">
        <v>233</v>
      </c>
      <c r="D54" s="14" t="s">
        <v>20</v>
      </c>
      <c r="E54" s="2"/>
      <c r="F54" s="69">
        <f>K32</f>
        <v>18.010951273015337</v>
      </c>
    </row>
    <row r="55" spans="1:7" x14ac:dyDescent="0.15">
      <c r="A55" s="6" t="s">
        <v>15</v>
      </c>
      <c r="B55" s="2" t="s">
        <v>234</v>
      </c>
      <c r="C55" s="2" t="s">
        <v>235</v>
      </c>
      <c r="D55" s="2" t="s">
        <v>63</v>
      </c>
      <c r="E55" s="2"/>
      <c r="F55" s="47">
        <f>(F47)*(F49-F53)*F43*F44*F42/3.6</f>
        <v>25221.772730881261</v>
      </c>
      <c r="G55" s="66" t="s">
        <v>256</v>
      </c>
    </row>
    <row r="56" spans="1:7" x14ac:dyDescent="0.15">
      <c r="A56" s="6" t="s">
        <v>16</v>
      </c>
      <c r="B56" s="2" t="s">
        <v>237</v>
      </c>
      <c r="C56" s="2"/>
      <c r="D56" s="9" t="s">
        <v>27</v>
      </c>
      <c r="E56" s="2"/>
      <c r="F56" s="69">
        <f>I33</f>
        <v>1.358180180064084</v>
      </c>
    </row>
    <row r="57" spans="1:7" x14ac:dyDescent="0.15">
      <c r="A57" s="6" t="s">
        <v>17</v>
      </c>
      <c r="B57" s="20" t="s">
        <v>31</v>
      </c>
      <c r="C57" s="10" t="s">
        <v>35</v>
      </c>
      <c r="D57" s="9" t="s">
        <v>32</v>
      </c>
      <c r="E57" s="9" t="s">
        <v>37</v>
      </c>
      <c r="F57" s="69">
        <f>F51</f>
        <v>6.7965621973639525</v>
      </c>
    </row>
    <row r="58" spans="1:7" x14ac:dyDescent="0.15">
      <c r="A58" s="6" t="s">
        <v>38</v>
      </c>
      <c r="B58" s="12" t="s">
        <v>57</v>
      </c>
      <c r="C58" s="7"/>
      <c r="D58" s="9" t="s">
        <v>1</v>
      </c>
      <c r="E58" s="9" t="s">
        <v>42</v>
      </c>
      <c r="F58" s="69">
        <f>_xll.T_PS($F$56,$F$57)</f>
        <v>257.14076205294816</v>
      </c>
    </row>
    <row r="59" spans="1:7" x14ac:dyDescent="0.15">
      <c r="A59" s="6" t="s">
        <v>41</v>
      </c>
      <c r="B59" s="20" t="s">
        <v>39</v>
      </c>
      <c r="C59" s="10" t="s">
        <v>62</v>
      </c>
      <c r="D59" s="9" t="s">
        <v>40</v>
      </c>
      <c r="E59" s="9" t="s">
        <v>42</v>
      </c>
      <c r="F59" s="69">
        <f>_xll.H_PS($F$56,$F$57)</f>
        <v>2946.0587257209595</v>
      </c>
    </row>
    <row r="60" spans="1:7" x14ac:dyDescent="0.15">
      <c r="A60" s="6" t="s">
        <v>43</v>
      </c>
      <c r="B60" s="13" t="s">
        <v>59</v>
      </c>
      <c r="C60" s="7" t="s">
        <v>64</v>
      </c>
      <c r="D60" s="14" t="s">
        <v>20</v>
      </c>
      <c r="E60" s="2"/>
      <c r="F60" s="69">
        <f>K33</f>
        <v>17.084804179898658</v>
      </c>
    </row>
    <row r="61" spans="1:7" x14ac:dyDescent="0.15">
      <c r="A61" s="6" t="s">
        <v>47</v>
      </c>
      <c r="B61" s="2" t="s">
        <v>65</v>
      </c>
      <c r="C61" s="2" t="s">
        <v>44</v>
      </c>
      <c r="D61" s="2" t="s">
        <v>63</v>
      </c>
      <c r="E61" s="2"/>
      <c r="F61" s="47">
        <f>(F47-F54)*(F53-F59)*F44*F43*F42/3.6</f>
        <v>8526.777948658957</v>
      </c>
      <c r="G61" s="66" t="s">
        <v>256</v>
      </c>
    </row>
    <row r="62" spans="1:7" x14ac:dyDescent="0.15">
      <c r="A62" s="6" t="s">
        <v>50</v>
      </c>
      <c r="B62" s="2" t="s">
        <v>66</v>
      </c>
      <c r="C62" s="2"/>
      <c r="D62" s="9" t="s">
        <v>27</v>
      </c>
      <c r="E62" s="2"/>
      <c r="F62" s="69">
        <f>I35</f>
        <v>0.63913043478260867</v>
      </c>
    </row>
    <row r="63" spans="1:7" x14ac:dyDescent="0.15">
      <c r="A63" s="6" t="s">
        <v>51</v>
      </c>
      <c r="B63" s="20" t="s">
        <v>31</v>
      </c>
      <c r="C63" s="10" t="s">
        <v>35</v>
      </c>
      <c r="D63" s="9" t="s">
        <v>32</v>
      </c>
      <c r="E63" s="9" t="s">
        <v>37</v>
      </c>
      <c r="F63" s="69">
        <f>F57</f>
        <v>6.7965621973639525</v>
      </c>
    </row>
    <row r="64" spans="1:7" x14ac:dyDescent="0.15">
      <c r="A64" s="6" t="s">
        <v>52</v>
      </c>
      <c r="B64" s="12" t="s">
        <v>57</v>
      </c>
      <c r="C64" s="7"/>
      <c r="D64" s="9" t="s">
        <v>1</v>
      </c>
      <c r="E64" s="9" t="s">
        <v>42</v>
      </c>
      <c r="F64" s="69">
        <f>_xll.T_PS($F$62,$F$63)</f>
        <v>171.96343124301211</v>
      </c>
    </row>
    <row r="65" spans="1:7" x14ac:dyDescent="0.15">
      <c r="A65" s="6" t="s">
        <v>53</v>
      </c>
      <c r="B65" s="20" t="s">
        <v>39</v>
      </c>
      <c r="C65" s="10" t="s">
        <v>62</v>
      </c>
      <c r="D65" s="9" t="s">
        <v>40</v>
      </c>
      <c r="E65" s="9" t="s">
        <v>42</v>
      </c>
      <c r="F65" s="69">
        <f>_xll.H_PS($F$62,$F$63)</f>
        <v>2784.7049632221642</v>
      </c>
    </row>
    <row r="66" spans="1:7" x14ac:dyDescent="0.15">
      <c r="A66" s="6" t="s">
        <v>67</v>
      </c>
      <c r="B66" s="13" t="s">
        <v>59</v>
      </c>
      <c r="C66" s="7" t="s">
        <v>68</v>
      </c>
      <c r="D66" s="14" t="s">
        <v>20</v>
      </c>
      <c r="E66" s="2"/>
      <c r="F66" s="69" t="e">
        <f>K35</f>
        <v>#REF!</v>
      </c>
    </row>
    <row r="67" spans="1:7" x14ac:dyDescent="0.15">
      <c r="A67" s="6" t="s">
        <v>69</v>
      </c>
      <c r="B67" s="2" t="s">
        <v>70</v>
      </c>
      <c r="C67" s="2" t="s">
        <v>71</v>
      </c>
      <c r="D67" s="2" t="s">
        <v>63</v>
      </c>
      <c r="E67" s="2"/>
      <c r="F67" s="47">
        <f>(F47-F54-F60)*(F59-F65)*F44*F43*F42/3.6</f>
        <v>8999.4467398250254</v>
      </c>
      <c r="G67" s="66" t="s">
        <v>256</v>
      </c>
    </row>
    <row r="68" spans="1:7" ht="15" x14ac:dyDescent="0.15">
      <c r="A68" s="6" t="s">
        <v>72</v>
      </c>
      <c r="B68" s="56" t="s">
        <v>246</v>
      </c>
      <c r="C68" s="18" t="s">
        <v>73</v>
      </c>
      <c r="D68" s="9" t="s">
        <v>27</v>
      </c>
      <c r="E68" s="9" t="s">
        <v>58</v>
      </c>
      <c r="F68" s="57">
        <f>F10</f>
        <v>0.2</v>
      </c>
    </row>
    <row r="69" spans="1:7" x14ac:dyDescent="0.15">
      <c r="A69" s="6" t="s">
        <v>74</v>
      </c>
      <c r="B69" s="12" t="s">
        <v>57</v>
      </c>
      <c r="C69" s="7"/>
      <c r="D69" s="9" t="s">
        <v>1</v>
      </c>
      <c r="E69" s="10" t="s">
        <v>58</v>
      </c>
      <c r="F69" s="16">
        <f>F11</f>
        <v>120.21154916847178</v>
      </c>
    </row>
    <row r="70" spans="1:7" x14ac:dyDescent="0.15">
      <c r="A70" s="6" t="s">
        <v>75</v>
      </c>
      <c r="B70" s="20" t="s">
        <v>31</v>
      </c>
      <c r="C70" s="10" t="s">
        <v>35</v>
      </c>
      <c r="D70" s="9" t="s">
        <v>32</v>
      </c>
      <c r="E70" s="9" t="s">
        <v>37</v>
      </c>
      <c r="F70" s="8">
        <f>F48</f>
        <v>6.7965621973639525</v>
      </c>
    </row>
    <row r="71" spans="1:7" x14ac:dyDescent="0.15">
      <c r="A71" s="6" t="s">
        <v>76</v>
      </c>
      <c r="B71" s="20" t="s">
        <v>39</v>
      </c>
      <c r="C71" s="10" t="s">
        <v>62</v>
      </c>
      <c r="D71" s="9" t="s">
        <v>40</v>
      </c>
      <c r="E71" s="9" t="s">
        <v>77</v>
      </c>
      <c r="F71" s="8">
        <f>F18</f>
        <v>2576.315831975322</v>
      </c>
    </row>
    <row r="72" spans="1:7" ht="14.25" x14ac:dyDescent="0.15">
      <c r="A72" s="6" t="s">
        <v>78</v>
      </c>
      <c r="B72" s="13" t="s">
        <v>59</v>
      </c>
      <c r="C72" s="7" t="s">
        <v>79</v>
      </c>
      <c r="D72" s="14" t="s">
        <v>20</v>
      </c>
      <c r="E72" s="9"/>
      <c r="F72" s="44">
        <f>F15</f>
        <v>0</v>
      </c>
    </row>
    <row r="73" spans="1:7" ht="14.25" x14ac:dyDescent="0.15">
      <c r="A73" s="6" t="s">
        <v>80</v>
      </c>
      <c r="B73" s="2" t="s">
        <v>247</v>
      </c>
      <c r="C73" s="2" t="s">
        <v>81</v>
      </c>
      <c r="D73" s="2" t="s">
        <v>63</v>
      </c>
      <c r="E73" s="2"/>
      <c r="F73" s="53" t="e">
        <f>(F47-F54-F60-F66)*(F65-F71)*F43*F44*F42/3.6</f>
        <v>#REF!</v>
      </c>
      <c r="G73" s="66" t="s">
        <v>256</v>
      </c>
    </row>
    <row r="74" spans="1:7" x14ac:dyDescent="0.15">
      <c r="A74" s="6" t="s">
        <v>82</v>
      </c>
      <c r="B74" s="2" t="s">
        <v>83</v>
      </c>
      <c r="C74" s="2"/>
      <c r="D74" s="9" t="s">
        <v>27</v>
      </c>
      <c r="E74" s="2"/>
      <c r="F74" s="69">
        <f>I36</f>
        <v>0.23579494775369556</v>
      </c>
    </row>
    <row r="75" spans="1:7" x14ac:dyDescent="0.15">
      <c r="A75" s="6" t="s">
        <v>84</v>
      </c>
      <c r="B75" s="20" t="s">
        <v>31</v>
      </c>
      <c r="C75" s="10" t="s">
        <v>35</v>
      </c>
      <c r="D75" s="9" t="s">
        <v>32</v>
      </c>
      <c r="E75" s="9" t="s">
        <v>37</v>
      </c>
      <c r="F75" s="69">
        <f>F63</f>
        <v>6.7965621973639525</v>
      </c>
    </row>
    <row r="76" spans="1:7" x14ac:dyDescent="0.15">
      <c r="A76" s="6" t="s">
        <v>85</v>
      </c>
      <c r="B76" s="12" t="s">
        <v>57</v>
      </c>
      <c r="C76" s="7"/>
      <c r="D76" s="9" t="s">
        <v>1</v>
      </c>
      <c r="E76" s="9" t="s">
        <v>42</v>
      </c>
      <c r="F76" s="69">
        <f>_xll.T_PS($F$74,$F$75)</f>
        <v>125.49662697233066</v>
      </c>
    </row>
    <row r="77" spans="1:7" x14ac:dyDescent="0.15">
      <c r="A77" s="6" t="s">
        <v>86</v>
      </c>
      <c r="B77" s="20" t="s">
        <v>39</v>
      </c>
      <c r="C77" s="10" t="s">
        <v>62</v>
      </c>
      <c r="D77" s="9" t="s">
        <v>40</v>
      </c>
      <c r="E77" s="9" t="s">
        <v>42</v>
      </c>
      <c r="F77" s="69">
        <f>_xll.H_PS($F$74,$F$75)</f>
        <v>2604.0361292333741</v>
      </c>
    </row>
    <row r="78" spans="1:7" x14ac:dyDescent="0.15">
      <c r="A78" s="6" t="s">
        <v>87</v>
      </c>
      <c r="B78" s="13" t="s">
        <v>59</v>
      </c>
      <c r="C78" s="7" t="s">
        <v>88</v>
      </c>
      <c r="D78" s="14" t="s">
        <v>20</v>
      </c>
      <c r="E78" s="2"/>
      <c r="F78" s="69" t="e">
        <f>K36</f>
        <v>#REF!</v>
      </c>
    </row>
    <row r="79" spans="1:7" x14ac:dyDescent="0.15">
      <c r="A79" s="6" t="s">
        <v>89</v>
      </c>
      <c r="B79" s="2" t="s">
        <v>250</v>
      </c>
      <c r="C79" s="2" t="s">
        <v>90</v>
      </c>
      <c r="D79" s="2" t="s">
        <v>63</v>
      </c>
      <c r="E79" s="2"/>
      <c r="F79" s="47" t="e">
        <f>(F47-F72-F54-F60-F66)*(F71-F77)*F43*F44*F42/3.6</f>
        <v>#REF!</v>
      </c>
      <c r="G79" s="66" t="s">
        <v>256</v>
      </c>
    </row>
    <row r="80" spans="1:7" x14ac:dyDescent="0.15">
      <c r="A80" s="6" t="s">
        <v>91</v>
      </c>
      <c r="B80" s="2" t="s">
        <v>92</v>
      </c>
      <c r="C80" s="2"/>
      <c r="D80" s="9" t="s">
        <v>27</v>
      </c>
      <c r="E80" s="2"/>
      <c r="F80" s="69">
        <f>I37</f>
        <v>6.2407805811093842E-2</v>
      </c>
    </row>
    <row r="81" spans="1:13" x14ac:dyDescent="0.15">
      <c r="A81" s="6" t="s">
        <v>93</v>
      </c>
      <c r="B81" s="20" t="s">
        <v>31</v>
      </c>
      <c r="C81" s="10" t="s">
        <v>35</v>
      </c>
      <c r="D81" s="9" t="s">
        <v>32</v>
      </c>
      <c r="E81" s="9" t="s">
        <v>37</v>
      </c>
      <c r="F81" s="69">
        <f>F63</f>
        <v>6.7965621973639525</v>
      </c>
    </row>
    <row r="82" spans="1:13" x14ac:dyDescent="0.15">
      <c r="A82" s="6" t="s">
        <v>94</v>
      </c>
      <c r="B82" s="12" t="s">
        <v>57</v>
      </c>
      <c r="C82" s="7"/>
      <c r="D82" s="9" t="s">
        <v>1</v>
      </c>
      <c r="E82" s="9" t="s">
        <v>42</v>
      </c>
      <c r="F82" s="69">
        <f>_xll.T_PS($F$80,$F$81)</f>
        <v>86.938557955524118</v>
      </c>
    </row>
    <row r="83" spans="1:13" x14ac:dyDescent="0.15">
      <c r="A83" s="6" t="s">
        <v>95</v>
      </c>
      <c r="B83" s="20" t="s">
        <v>39</v>
      </c>
      <c r="C83" s="10" t="s">
        <v>62</v>
      </c>
      <c r="D83" s="9" t="s">
        <v>40</v>
      </c>
      <c r="E83" s="9" t="s">
        <v>42</v>
      </c>
      <c r="F83" s="69">
        <f>_xll.H_PS($F$80,$F$81)</f>
        <v>2394.8177144506244</v>
      </c>
    </row>
    <row r="84" spans="1:13" x14ac:dyDescent="0.15">
      <c r="A84" s="6" t="s">
        <v>96</v>
      </c>
      <c r="B84" s="13" t="s">
        <v>59</v>
      </c>
      <c r="C84" s="7" t="s">
        <v>88</v>
      </c>
      <c r="D84" s="14" t="s">
        <v>20</v>
      </c>
      <c r="E84" s="2"/>
      <c r="F84" s="69" t="e">
        <f>K37</f>
        <v>#REF!</v>
      </c>
    </row>
    <row r="85" spans="1:13" x14ac:dyDescent="0.15">
      <c r="A85" s="6" t="s">
        <v>97</v>
      </c>
      <c r="B85" s="2" t="s">
        <v>98</v>
      </c>
      <c r="C85" s="2" t="s">
        <v>99</v>
      </c>
      <c r="D85" s="2" t="s">
        <v>63</v>
      </c>
      <c r="E85" s="2"/>
      <c r="F85" s="47" t="e">
        <f>(F47-F72-F54-F60-F66-F78)*(F77-F83)*F43*F44*F42/3.6</f>
        <v>#REF!</v>
      </c>
      <c r="G85" s="66" t="s">
        <v>256</v>
      </c>
    </row>
    <row r="86" spans="1:13" x14ac:dyDescent="0.15">
      <c r="A86" s="6" t="s">
        <v>100</v>
      </c>
      <c r="B86" s="13" t="s">
        <v>249</v>
      </c>
      <c r="C86" s="10" t="s">
        <v>44</v>
      </c>
      <c r="D86" s="14" t="s">
        <v>27</v>
      </c>
      <c r="E86" s="9" t="s">
        <v>46</v>
      </c>
      <c r="F86" s="65">
        <v>5.0000000000000001E-3</v>
      </c>
      <c r="H86" s="45"/>
    </row>
    <row r="87" spans="1:13" x14ac:dyDescent="0.15">
      <c r="A87" s="6" t="s">
        <v>101</v>
      </c>
      <c r="B87" s="20" t="s">
        <v>31</v>
      </c>
      <c r="C87" s="10" t="s">
        <v>35</v>
      </c>
      <c r="D87" s="9" t="s">
        <v>32</v>
      </c>
      <c r="E87" s="9" t="s">
        <v>37</v>
      </c>
      <c r="F87" s="69">
        <f>F75</f>
        <v>6.7965621973639525</v>
      </c>
    </row>
    <row r="88" spans="1:13" x14ac:dyDescent="0.15">
      <c r="A88" s="6" t="s">
        <v>102</v>
      </c>
      <c r="B88" s="13" t="s">
        <v>39</v>
      </c>
      <c r="C88" s="10" t="s">
        <v>48</v>
      </c>
      <c r="D88" s="9" t="s">
        <v>40</v>
      </c>
      <c r="E88" s="9" t="s">
        <v>49</v>
      </c>
      <c r="F88" s="8">
        <f>_xll.H_PS($F$86,$F$87)</f>
        <v>2071.935779429929</v>
      </c>
    </row>
    <row r="89" spans="1:13" x14ac:dyDescent="0.15">
      <c r="A89" s="6" t="s">
        <v>103</v>
      </c>
      <c r="B89" s="13" t="s">
        <v>104</v>
      </c>
      <c r="C89" s="10" t="s">
        <v>105</v>
      </c>
      <c r="D89" s="9" t="s">
        <v>106</v>
      </c>
      <c r="E89" s="9"/>
      <c r="F89" s="8">
        <f>F83-(F83-F88)*F42</f>
        <v>2130.0545277336541</v>
      </c>
    </row>
    <row r="90" spans="1:13" x14ac:dyDescent="0.15">
      <c r="A90" s="6" t="s">
        <v>107</v>
      </c>
      <c r="B90" s="13" t="s">
        <v>108</v>
      </c>
      <c r="C90" s="10" t="s">
        <v>109</v>
      </c>
      <c r="D90" s="9" t="s">
        <v>40</v>
      </c>
      <c r="E90" s="10" t="s">
        <v>42</v>
      </c>
      <c r="F90" s="8">
        <f>_xll.HG_P(F86)</f>
        <v>2560.7651042009634</v>
      </c>
    </row>
    <row r="91" spans="1:13" x14ac:dyDescent="0.15">
      <c r="A91" s="6" t="s">
        <v>110</v>
      </c>
      <c r="B91" s="13" t="s">
        <v>54</v>
      </c>
      <c r="C91" s="10" t="s">
        <v>111</v>
      </c>
      <c r="D91" s="9" t="s">
        <v>40</v>
      </c>
      <c r="E91" s="10" t="s">
        <v>42</v>
      </c>
      <c r="F91" s="8">
        <f>_xll.HL_P(F86)</f>
        <v>137.76511893654626</v>
      </c>
    </row>
    <row r="92" spans="1:13" x14ac:dyDescent="0.15">
      <c r="A92" s="6" t="s">
        <v>112</v>
      </c>
      <c r="B92" s="13" t="s">
        <v>113</v>
      </c>
      <c r="C92" s="10" t="s">
        <v>114</v>
      </c>
      <c r="D92" s="9"/>
      <c r="E92" s="9" t="s">
        <v>248</v>
      </c>
      <c r="F92" s="59">
        <f>1-(F89-F91)/(F90-F91)</f>
        <v>0.17775921547119067</v>
      </c>
    </row>
    <row r="93" spans="1:13" ht="14.25" x14ac:dyDescent="0.15">
      <c r="A93" s="6" t="s">
        <v>115</v>
      </c>
      <c r="B93" s="13" t="s">
        <v>59</v>
      </c>
      <c r="C93" s="7" t="s">
        <v>88</v>
      </c>
      <c r="D93" s="14" t="s">
        <v>20</v>
      </c>
      <c r="E93" s="4" t="s">
        <v>116</v>
      </c>
      <c r="F93" s="8" t="e">
        <f>F47-F54-F60-F66+F72-F78-F84</f>
        <v>#REF!</v>
      </c>
    </row>
    <row r="94" spans="1:13" x14ac:dyDescent="0.15">
      <c r="A94" s="6" t="s">
        <v>117</v>
      </c>
      <c r="B94" s="2" t="s">
        <v>118</v>
      </c>
      <c r="C94" s="2" t="s">
        <v>238</v>
      </c>
      <c r="D94" s="2" t="s">
        <v>63</v>
      </c>
      <c r="E94" s="2"/>
      <c r="F94" s="47" t="e">
        <f>(F47-F72-F54-F60-F66-F78-F84)*(F83-F89)*F43*F44*F42/3.6</f>
        <v>#REF!</v>
      </c>
      <c r="G94" s="66" t="s">
        <v>256</v>
      </c>
      <c r="L94" s="3"/>
      <c r="M94" s="3"/>
    </row>
    <row r="95" spans="1:13" ht="14.25" x14ac:dyDescent="0.15">
      <c r="A95" s="6" t="s">
        <v>119</v>
      </c>
      <c r="B95" s="2" t="s">
        <v>239</v>
      </c>
      <c r="C95" s="2"/>
      <c r="D95" s="2"/>
      <c r="E95" s="2"/>
      <c r="F95" s="54" t="e">
        <f>(F94+F85+F79+F67+F61+F55+F73)</f>
        <v>#REF!</v>
      </c>
      <c r="G95" s="66" t="s">
        <v>256</v>
      </c>
    </row>
    <row r="96" spans="1:13" x14ac:dyDescent="0.15">
      <c r="A96" s="6" t="s">
        <v>120</v>
      </c>
      <c r="B96" s="2" t="s">
        <v>240</v>
      </c>
      <c r="C96" s="2"/>
      <c r="D96" s="2"/>
      <c r="E96" s="2" t="s">
        <v>241</v>
      </c>
      <c r="F96" s="58" t="e">
        <f>(F95-F24*1000)/F24/1000</f>
        <v>#REF!</v>
      </c>
      <c r="G96" s="46"/>
    </row>
  </sheetData>
  <mergeCells count="8">
    <mergeCell ref="A39:K40"/>
    <mergeCell ref="A41:F41"/>
    <mergeCell ref="A1:F1"/>
    <mergeCell ref="K4:K5"/>
    <mergeCell ref="L4:M4"/>
    <mergeCell ref="N4:O4"/>
    <mergeCell ref="A27:K27"/>
    <mergeCell ref="A28:K2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99"/>
  <sheetViews>
    <sheetView tabSelected="1" zoomScale="90" zoomScaleNormal="90" workbookViewId="0">
      <selection activeCell="I46" sqref="I46"/>
    </sheetView>
  </sheetViews>
  <sheetFormatPr defaultColWidth="9" defaultRowHeight="13.5" x14ac:dyDescent="0.15"/>
  <cols>
    <col min="1" max="1" width="8.625" style="1" customWidth="1"/>
    <col min="2" max="2" width="15.625" style="1" customWidth="1"/>
    <col min="3" max="4" width="8.625" style="1" customWidth="1"/>
    <col min="5" max="5" width="43.875" style="1" customWidth="1"/>
    <col min="6" max="6" width="11.625" style="37" customWidth="1"/>
    <col min="7" max="7" width="42" style="1" customWidth="1"/>
    <col min="8" max="9" width="8.625" style="1" customWidth="1"/>
    <col min="10" max="10" width="10.625" style="1" customWidth="1"/>
    <col min="11" max="11" width="13.75" style="1" customWidth="1"/>
    <col min="12" max="12" width="21" style="1" customWidth="1"/>
    <col min="13" max="13" width="22.875" style="1" customWidth="1"/>
    <col min="14" max="14" width="25.375" style="1" customWidth="1"/>
    <col min="15" max="15" width="25.25" style="1" customWidth="1"/>
    <col min="16" max="16" width="8.625" style="1" customWidth="1"/>
    <col min="17" max="26" width="12.625" style="1" customWidth="1"/>
    <col min="27" max="27" width="10.625" style="1" customWidth="1"/>
    <col min="28" max="16384" width="9" style="1"/>
  </cols>
  <sheetData>
    <row r="1" spans="1:15" x14ac:dyDescent="0.15">
      <c r="A1" s="74" t="s">
        <v>242</v>
      </c>
      <c r="B1" s="75"/>
      <c r="C1" s="75"/>
      <c r="D1" s="75"/>
      <c r="E1" s="75"/>
      <c r="F1" s="77"/>
    </row>
    <row r="2" spans="1:15" ht="18.75" x14ac:dyDescent="0.35">
      <c r="A2" s="6" t="s">
        <v>128</v>
      </c>
      <c r="B2" s="7" t="s">
        <v>129</v>
      </c>
      <c r="C2" s="7" t="s">
        <v>130</v>
      </c>
      <c r="D2" s="7"/>
      <c r="E2" s="7" t="s">
        <v>122</v>
      </c>
      <c r="F2" s="8">
        <v>0.78</v>
      </c>
      <c r="G2" s="67" t="s">
        <v>255</v>
      </c>
    </row>
    <row r="3" spans="1:15" ht="18.75" x14ac:dyDescent="0.35">
      <c r="A3" s="6" t="s">
        <v>2</v>
      </c>
      <c r="B3" s="7" t="s">
        <v>131</v>
      </c>
      <c r="C3" s="7" t="s">
        <v>132</v>
      </c>
      <c r="D3" s="7"/>
      <c r="E3" s="7" t="s">
        <v>122</v>
      </c>
      <c r="F3" s="8">
        <v>0.95</v>
      </c>
      <c r="G3" s="67" t="s">
        <v>255</v>
      </c>
    </row>
    <row r="4" spans="1:15" ht="18.75" x14ac:dyDescent="0.35">
      <c r="A4" s="6" t="s">
        <v>3</v>
      </c>
      <c r="B4" s="7" t="s">
        <v>133</v>
      </c>
      <c r="C4" s="7" t="s">
        <v>134</v>
      </c>
      <c r="D4" s="7"/>
      <c r="E4" s="7" t="s">
        <v>122</v>
      </c>
      <c r="F4" s="8">
        <v>0.97299999999999998</v>
      </c>
      <c r="G4" s="67" t="s">
        <v>255</v>
      </c>
      <c r="K4" s="72"/>
      <c r="L4" s="73"/>
      <c r="M4" s="73"/>
      <c r="N4" s="73"/>
      <c r="O4" s="73"/>
    </row>
    <row r="5" spans="1:15" x14ac:dyDescent="0.15">
      <c r="A5" s="6" t="s">
        <v>4</v>
      </c>
      <c r="B5" s="7" t="s">
        <v>135</v>
      </c>
      <c r="C5" s="7"/>
      <c r="D5" s="9" t="s">
        <v>123</v>
      </c>
      <c r="E5" s="10" t="s">
        <v>28</v>
      </c>
      <c r="F5" s="11">
        <v>8.83</v>
      </c>
      <c r="G5" s="70" t="s">
        <v>262</v>
      </c>
      <c r="K5" s="72"/>
      <c r="L5" s="68"/>
      <c r="M5" s="68"/>
      <c r="N5" s="68"/>
      <c r="O5" s="68"/>
    </row>
    <row r="6" spans="1:15" x14ac:dyDescent="0.15">
      <c r="A6" s="6" t="s">
        <v>5</v>
      </c>
      <c r="B6" s="12" t="s">
        <v>136</v>
      </c>
      <c r="C6" s="7"/>
      <c r="D6" s="9" t="s">
        <v>125</v>
      </c>
      <c r="E6" s="10" t="s">
        <v>124</v>
      </c>
      <c r="F6" s="11">
        <v>540</v>
      </c>
      <c r="G6" s="70" t="s">
        <v>262</v>
      </c>
      <c r="K6" s="68"/>
      <c r="L6" s="71"/>
      <c r="M6" s="71"/>
      <c r="N6" s="71"/>
      <c r="O6" s="71"/>
    </row>
    <row r="7" spans="1:15" x14ac:dyDescent="0.15">
      <c r="A7" s="6" t="s">
        <v>6</v>
      </c>
      <c r="B7" s="13" t="s">
        <v>137</v>
      </c>
      <c r="C7" s="7" t="s">
        <v>126</v>
      </c>
      <c r="D7" s="14" t="s">
        <v>127</v>
      </c>
      <c r="E7" s="15" t="s">
        <v>138</v>
      </c>
      <c r="F7" s="8">
        <v>97</v>
      </c>
      <c r="G7" s="70" t="s">
        <v>259</v>
      </c>
      <c r="K7" s="68"/>
      <c r="L7" s="71"/>
      <c r="M7" s="71"/>
      <c r="N7" s="71"/>
      <c r="O7" s="71"/>
    </row>
    <row r="8" spans="1:15" x14ac:dyDescent="0.15">
      <c r="A8" s="6" t="s">
        <v>8</v>
      </c>
      <c r="B8" s="12" t="s">
        <v>139</v>
      </c>
      <c r="C8" s="7"/>
      <c r="D8" s="9" t="s">
        <v>140</v>
      </c>
      <c r="E8" s="10" t="s">
        <v>141</v>
      </c>
      <c r="F8" s="16">
        <f>_xll.S_PT(F5,F6)</f>
        <v>6.7965621973639525</v>
      </c>
      <c r="I8" s="45"/>
      <c r="K8" s="68"/>
      <c r="L8" s="71"/>
      <c r="M8" s="71"/>
      <c r="N8" s="71"/>
      <c r="O8" s="71"/>
    </row>
    <row r="9" spans="1:15" x14ac:dyDescent="0.15">
      <c r="A9" s="6" t="s">
        <v>9</v>
      </c>
      <c r="B9" s="13" t="s">
        <v>142</v>
      </c>
      <c r="C9" s="10" t="s">
        <v>143</v>
      </c>
      <c r="D9" s="9" t="s">
        <v>144</v>
      </c>
      <c r="E9" s="9" t="s">
        <v>141</v>
      </c>
      <c r="F9" s="8">
        <f>_xll.H_PT($F$5,$F$6)</f>
        <v>3488.9820780514765</v>
      </c>
    </row>
    <row r="10" spans="1:15" ht="15" x14ac:dyDescent="0.15">
      <c r="A10" s="6" t="s">
        <v>10</v>
      </c>
      <c r="B10" s="17" t="s">
        <v>244</v>
      </c>
      <c r="C10" s="18" t="s">
        <v>145</v>
      </c>
      <c r="D10" s="9" t="s">
        <v>146</v>
      </c>
      <c r="E10" s="9" t="s">
        <v>147</v>
      </c>
      <c r="F10" s="11">
        <v>0.2</v>
      </c>
      <c r="G10" s="70" t="s">
        <v>257</v>
      </c>
    </row>
    <row r="11" spans="1:15" x14ac:dyDescent="0.15">
      <c r="A11" s="6" t="s">
        <v>11</v>
      </c>
      <c r="B11" s="12" t="s">
        <v>148</v>
      </c>
      <c r="C11" s="7"/>
      <c r="D11" s="9" t="s">
        <v>149</v>
      </c>
      <c r="E11" s="9" t="s">
        <v>141</v>
      </c>
      <c r="F11" s="8">
        <f>_xll.T_PS($F$10,$F$12)</f>
        <v>120.21154916847178</v>
      </c>
      <c r="G11" s="70" t="s">
        <v>260</v>
      </c>
    </row>
    <row r="12" spans="1:15" x14ac:dyDescent="0.15">
      <c r="A12" s="6" t="s">
        <v>12</v>
      </c>
      <c r="B12" s="20" t="s">
        <v>139</v>
      </c>
      <c r="C12" s="10" t="s">
        <v>150</v>
      </c>
      <c r="D12" s="9" t="s">
        <v>140</v>
      </c>
      <c r="E12" s="9" t="s">
        <v>151</v>
      </c>
      <c r="F12" s="8">
        <f>F8</f>
        <v>6.7965621973639525</v>
      </c>
      <c r="G12" s="45"/>
    </row>
    <row r="13" spans="1:15" x14ac:dyDescent="0.15">
      <c r="A13" s="6" t="s">
        <v>13</v>
      </c>
      <c r="B13" s="20" t="s">
        <v>142</v>
      </c>
      <c r="C13" s="10" t="s">
        <v>152</v>
      </c>
      <c r="D13" s="9" t="s">
        <v>144</v>
      </c>
      <c r="E13" s="9" t="s">
        <v>141</v>
      </c>
      <c r="F13" s="8">
        <f>_xll.H_PS($F$10,$F$12)</f>
        <v>2576.315831975322</v>
      </c>
    </row>
    <row r="14" spans="1:15" x14ac:dyDescent="0.15">
      <c r="A14" s="6" t="s">
        <v>14</v>
      </c>
      <c r="B14" s="20" t="s">
        <v>142</v>
      </c>
      <c r="C14" s="10" t="s">
        <v>152</v>
      </c>
      <c r="D14" s="9" t="s">
        <v>144</v>
      </c>
      <c r="E14" s="9" t="s">
        <v>141</v>
      </c>
      <c r="F14" s="8">
        <f>_xll.H_PS($F$10,$F$12)</f>
        <v>2576.315831975322</v>
      </c>
    </row>
    <row r="15" spans="1:15" ht="20.100000000000001" customHeight="1" x14ac:dyDescent="0.15">
      <c r="A15" s="6" t="s">
        <v>15</v>
      </c>
      <c r="B15" s="13" t="s">
        <v>153</v>
      </c>
      <c r="C15" s="7" t="s">
        <v>79</v>
      </c>
      <c r="D15" s="14" t="s">
        <v>154</v>
      </c>
      <c r="E15" s="21"/>
      <c r="F15" s="22">
        <v>0</v>
      </c>
      <c r="G15" s="70" t="s">
        <v>257</v>
      </c>
    </row>
    <row r="16" spans="1:15" s="23" customFormat="1" x14ac:dyDescent="0.15">
      <c r="A16" s="6" t="s">
        <v>16</v>
      </c>
      <c r="B16" s="10" t="s">
        <v>245</v>
      </c>
      <c r="C16" s="10" t="s">
        <v>155</v>
      </c>
      <c r="D16" s="14" t="s">
        <v>154</v>
      </c>
      <c r="E16" s="9" t="s">
        <v>156</v>
      </c>
      <c r="F16" s="8">
        <f>F7-F15</f>
        <v>97</v>
      </c>
    </row>
    <row r="17" spans="1:24" s="23" customFormat="1" ht="15" x14ac:dyDescent="0.15">
      <c r="A17" s="6" t="s">
        <v>17</v>
      </c>
      <c r="B17" s="13" t="s">
        <v>157</v>
      </c>
      <c r="C17" s="18" t="s">
        <v>145</v>
      </c>
      <c r="D17" s="9" t="s">
        <v>146</v>
      </c>
      <c r="E17" s="9"/>
      <c r="F17" s="8">
        <f>F10</f>
        <v>0.2</v>
      </c>
    </row>
    <row r="18" spans="1:24" s="23" customFormat="1" ht="16.5" x14ac:dyDescent="0.15">
      <c r="A18" s="6" t="s">
        <v>38</v>
      </c>
      <c r="B18" s="13" t="s">
        <v>158</v>
      </c>
      <c r="C18" s="10" t="s">
        <v>159</v>
      </c>
      <c r="D18" s="9" t="s">
        <v>160</v>
      </c>
      <c r="E18" s="9" t="s">
        <v>161</v>
      </c>
      <c r="F18" s="8">
        <f>F14</f>
        <v>2576.315831975322</v>
      </c>
    </row>
    <row r="19" spans="1:24" s="23" customFormat="1" ht="16.5" x14ac:dyDescent="0.15">
      <c r="A19" s="6" t="s">
        <v>41</v>
      </c>
      <c r="B19" s="13" t="s">
        <v>162</v>
      </c>
      <c r="C19" s="10" t="s">
        <v>163</v>
      </c>
      <c r="D19" s="9" t="s">
        <v>164</v>
      </c>
      <c r="E19" s="9" t="s">
        <v>165</v>
      </c>
      <c r="F19" s="8">
        <f>F8</f>
        <v>6.7965621973639525</v>
      </c>
    </row>
    <row r="20" spans="1:24" ht="20.100000000000001" customHeight="1" x14ac:dyDescent="0.15">
      <c r="A20" s="6" t="s">
        <v>43</v>
      </c>
      <c r="B20" s="7" t="s">
        <v>263</v>
      </c>
      <c r="C20" s="10" t="s">
        <v>167</v>
      </c>
      <c r="D20" s="14" t="s">
        <v>27</v>
      </c>
      <c r="E20" s="9"/>
      <c r="F20" s="19">
        <v>0.5</v>
      </c>
      <c r="G20" s="70" t="s">
        <v>260</v>
      </c>
      <c r="H20" s="1" t="s">
        <v>266</v>
      </c>
    </row>
    <row r="21" spans="1:24" ht="20.100000000000001" customHeight="1" x14ac:dyDescent="0.15">
      <c r="A21" s="6"/>
      <c r="B21" s="12" t="s">
        <v>57</v>
      </c>
      <c r="C21" s="7"/>
      <c r="D21" s="9" t="s">
        <v>1</v>
      </c>
      <c r="E21" s="9"/>
      <c r="F21" s="19">
        <f>_xll.T_P('汽轮机计算-抽凝'!$F$20)</f>
        <v>151.83624569711185</v>
      </c>
      <c r="G21" s="70" t="s">
        <v>260</v>
      </c>
      <c r="H21" s="1" t="s">
        <v>265</v>
      </c>
    </row>
    <row r="22" spans="1:24" ht="20.100000000000001" customHeight="1" x14ac:dyDescent="0.15">
      <c r="A22" s="6" t="s">
        <v>47</v>
      </c>
      <c r="B22" s="12" t="s">
        <v>168</v>
      </c>
      <c r="C22" s="10" t="s">
        <v>169</v>
      </c>
      <c r="D22" s="9" t="s">
        <v>170</v>
      </c>
      <c r="E22" s="9" t="s">
        <v>42</v>
      </c>
      <c r="F22" s="8">
        <f>_xll.H_PS($F$20,'汽轮机计算-抽凝'!$F$19)</f>
        <v>2737.9000535396976</v>
      </c>
      <c r="G22" s="70" t="s">
        <v>268</v>
      </c>
      <c r="H22" s="1" t="s">
        <v>269</v>
      </c>
    </row>
    <row r="23" spans="1:24" ht="20.100000000000001" customHeight="1" x14ac:dyDescent="0.15">
      <c r="A23" s="6"/>
      <c r="B23" s="13" t="s">
        <v>59</v>
      </c>
      <c r="C23" s="7" t="s">
        <v>267</v>
      </c>
      <c r="D23" s="14" t="s">
        <v>20</v>
      </c>
      <c r="E23" s="21"/>
      <c r="F23" s="8">
        <f>F7-F15</f>
        <v>97</v>
      </c>
    </row>
    <row r="24" spans="1:24" ht="20.100000000000001" customHeight="1" x14ac:dyDescent="0.15">
      <c r="A24" s="6" t="s">
        <v>50</v>
      </c>
      <c r="B24" s="9" t="s">
        <v>171</v>
      </c>
      <c r="C24" s="9" t="s">
        <v>172</v>
      </c>
      <c r="D24" s="9" t="s">
        <v>173</v>
      </c>
      <c r="E24" s="2"/>
      <c r="F24" s="5">
        <f>F2*F3*F4/3.6*(F7*(F9-F13)+F23*(F18-F22))</f>
        <v>14591.087100996008</v>
      </c>
    </row>
    <row r="25" spans="1:24" ht="20.100000000000001" customHeight="1" x14ac:dyDescent="0.15">
      <c r="A25" s="6"/>
      <c r="B25" s="9" t="s">
        <v>264</v>
      </c>
      <c r="C25" s="9"/>
      <c r="D25" s="9"/>
      <c r="E25" s="2" t="s">
        <v>176</v>
      </c>
      <c r="F25" s="69">
        <v>0.95</v>
      </c>
      <c r="G25" s="67" t="s">
        <v>255</v>
      </c>
    </row>
    <row r="26" spans="1:24" ht="20.100000000000001" customHeight="1" x14ac:dyDescent="0.15">
      <c r="A26" s="6" t="s">
        <v>51</v>
      </c>
      <c r="B26" s="24" t="s">
        <v>174</v>
      </c>
      <c r="C26" s="9" t="s">
        <v>172</v>
      </c>
      <c r="D26" s="9" t="s">
        <v>175</v>
      </c>
      <c r="E26" s="2"/>
      <c r="F26" s="5">
        <f>F25*F24/1000</f>
        <v>13.861532745946208</v>
      </c>
    </row>
    <row r="27" spans="1:24" ht="20.100000000000001" customHeight="1" x14ac:dyDescent="0.15">
      <c r="A27" s="6" t="s">
        <v>52</v>
      </c>
      <c r="B27" s="24" t="s">
        <v>177</v>
      </c>
      <c r="C27" s="9" t="s">
        <v>172</v>
      </c>
      <c r="D27" s="9" t="s">
        <v>175</v>
      </c>
      <c r="E27" s="4"/>
      <c r="F27" s="55">
        <v>73</v>
      </c>
      <c r="G27" s="70" t="s">
        <v>261</v>
      </c>
    </row>
    <row r="28" spans="1:24" ht="20.100000000000001" customHeight="1" x14ac:dyDescent="0.15">
      <c r="A28" s="6" t="s">
        <v>53</v>
      </c>
      <c r="B28" s="25" t="s">
        <v>178</v>
      </c>
      <c r="C28" s="26"/>
      <c r="D28" s="26"/>
      <c r="E28" s="27"/>
      <c r="F28" s="48">
        <v>0.03</v>
      </c>
      <c r="G28" s="67" t="s">
        <v>255</v>
      </c>
    </row>
    <row r="29" spans="1:24" ht="20.100000000000001" customHeight="1" x14ac:dyDescent="0.15">
      <c r="A29" s="60"/>
      <c r="B29" s="61" t="s">
        <v>252</v>
      </c>
      <c r="C29" s="62"/>
      <c r="D29" s="62" t="s">
        <v>253</v>
      </c>
      <c r="E29" s="63" t="s">
        <v>254</v>
      </c>
      <c r="F29" s="64">
        <v>300</v>
      </c>
      <c r="G29" s="70" t="s">
        <v>259</v>
      </c>
    </row>
    <row r="30" spans="1:24" ht="20.100000000000001" customHeight="1" x14ac:dyDescent="0.15">
      <c r="A30" s="78" t="s">
        <v>243</v>
      </c>
      <c r="B30" s="79"/>
      <c r="C30" s="79"/>
      <c r="D30" s="79"/>
      <c r="E30" s="79"/>
      <c r="F30" s="79"/>
      <c r="G30" s="79"/>
      <c r="H30" s="79"/>
      <c r="I30" s="79"/>
      <c r="J30" s="79"/>
      <c r="K30" s="80"/>
    </row>
    <row r="31" spans="1:24" ht="20.100000000000001" customHeight="1" x14ac:dyDescent="0.15">
      <c r="A31" s="81" t="s">
        <v>179</v>
      </c>
      <c r="B31" s="82"/>
      <c r="C31" s="82"/>
      <c r="D31" s="82"/>
      <c r="E31" s="82"/>
      <c r="F31" s="82"/>
      <c r="G31" s="82"/>
      <c r="H31" s="82"/>
      <c r="I31" s="82"/>
      <c r="J31" s="82"/>
      <c r="K31" s="83"/>
    </row>
    <row r="32" spans="1:24" s="30" customFormat="1" ht="34.5" customHeight="1" x14ac:dyDescent="0.15">
      <c r="A32" s="28" t="s">
        <v>121</v>
      </c>
      <c r="B32" s="29" t="s">
        <v>180</v>
      </c>
      <c r="C32" s="29" t="s">
        <v>181</v>
      </c>
      <c r="D32" s="29" t="s">
        <v>182</v>
      </c>
      <c r="E32" s="29" t="s">
        <v>183</v>
      </c>
      <c r="F32" s="49" t="s">
        <v>184</v>
      </c>
      <c r="G32" s="28" t="s">
        <v>185</v>
      </c>
      <c r="H32" s="28" t="s">
        <v>186</v>
      </c>
      <c r="I32" s="28" t="s">
        <v>187</v>
      </c>
      <c r="J32" s="28" t="s">
        <v>188</v>
      </c>
      <c r="K32" s="28" t="s">
        <v>189</v>
      </c>
      <c r="L32" s="1"/>
      <c r="M32" s="1"/>
      <c r="N32" s="1"/>
      <c r="X32" s="30" t="e">
        <f ca="1">HL_T('[1]原则性热力系统--无高加'!$X$47)</f>
        <v>#NAME?</v>
      </c>
    </row>
    <row r="33" spans="1:28" s="30" customFormat="1" ht="21.75" customHeight="1" x14ac:dyDescent="0.15">
      <c r="A33" s="28" t="s">
        <v>190</v>
      </c>
      <c r="B33" s="29" t="s">
        <v>191</v>
      </c>
      <c r="C33" s="29" t="s">
        <v>192</v>
      </c>
      <c r="D33" s="29" t="s">
        <v>193</v>
      </c>
      <c r="E33" s="29" t="s">
        <v>194</v>
      </c>
      <c r="F33" s="49" t="s">
        <v>195</v>
      </c>
      <c r="G33" s="28" t="s">
        <v>196</v>
      </c>
      <c r="H33" s="28" t="s">
        <v>197</v>
      </c>
      <c r="I33" s="28" t="s">
        <v>198</v>
      </c>
      <c r="J33" s="28" t="s">
        <v>199</v>
      </c>
      <c r="K33" s="28" t="s">
        <v>200</v>
      </c>
      <c r="V33" s="30">
        <f t="shared" ref="V33:V39" si="0">W33-W34</f>
        <v>148.60000000000014</v>
      </c>
      <c r="W33" s="30">
        <v>1193.4000000000001</v>
      </c>
      <c r="X33" s="30">
        <v>272.5</v>
      </c>
      <c r="Y33" s="30">
        <f t="shared" ref="Y33:Y39" si="1">X33-X34</f>
        <v>31.5</v>
      </c>
      <c r="AA33" s="30">
        <v>3137.5</v>
      </c>
      <c r="AB33" s="30">
        <f t="shared" ref="AB33:AB39" si="2">AA33-AA34</f>
        <v>117.5</v>
      </c>
    </row>
    <row r="34" spans="1:28" s="30" customFormat="1" ht="19.5" customHeight="1" x14ac:dyDescent="0.15">
      <c r="A34" s="28" t="s">
        <v>201</v>
      </c>
      <c r="B34" s="29" t="s">
        <v>202</v>
      </c>
      <c r="C34" s="29" t="s">
        <v>203</v>
      </c>
      <c r="D34" s="29" t="s">
        <v>202</v>
      </c>
      <c r="E34" s="29" t="s">
        <v>202</v>
      </c>
      <c r="F34" s="50" t="s">
        <v>202</v>
      </c>
      <c r="G34" s="28" t="s">
        <v>27</v>
      </c>
      <c r="H34" s="28" t="s">
        <v>27</v>
      </c>
      <c r="I34" s="28" t="s">
        <v>27</v>
      </c>
      <c r="J34" s="29" t="s">
        <v>203</v>
      </c>
      <c r="K34" s="28" t="s">
        <v>29</v>
      </c>
      <c r="V34" s="30">
        <f t="shared" si="0"/>
        <v>186.29999999999995</v>
      </c>
      <c r="W34" s="30">
        <v>1044.8</v>
      </c>
      <c r="X34" s="30">
        <v>241</v>
      </c>
      <c r="Y34" s="30">
        <f t="shared" si="1"/>
        <v>41.400000000000006</v>
      </c>
      <c r="AA34" s="30">
        <v>3020</v>
      </c>
      <c r="AB34" s="30">
        <f t="shared" si="2"/>
        <v>-305</v>
      </c>
    </row>
    <row r="35" spans="1:28" s="36" customFormat="1" ht="20.100000000000001" customHeight="1" x14ac:dyDescent="0.15">
      <c r="A35" s="31" t="s">
        <v>204</v>
      </c>
      <c r="B35" s="32">
        <v>215</v>
      </c>
      <c r="C35" s="33">
        <f>_xll.HL_T($B$35)</f>
        <v>920.60856642728231</v>
      </c>
      <c r="D35" s="34">
        <v>2.8</v>
      </c>
      <c r="E35" s="33">
        <f>B35+D35</f>
        <v>217.8</v>
      </c>
      <c r="F35" s="51">
        <f>_xll.HL_T($E$35)</f>
        <v>933.48758109181199</v>
      </c>
      <c r="G35" s="33">
        <f>_xll.P_T(E35)</f>
        <v>2.2232704725985939</v>
      </c>
      <c r="H35" s="35">
        <v>0.08</v>
      </c>
      <c r="I35" s="33">
        <f>G35/(1-H35)</f>
        <v>2.4165983397810802</v>
      </c>
      <c r="J35" s="33">
        <f>_xll.H_PS($I$35,$F$8)</f>
        <v>3089.6754159269049</v>
      </c>
      <c r="K35" s="33">
        <f>(F29)*(C35-C36)/(J35-F35)/0.98</f>
        <v>18.010951273015337</v>
      </c>
      <c r="M35" s="37"/>
      <c r="U35" s="30"/>
      <c r="V35" s="30">
        <f t="shared" si="0"/>
        <v>146.29999999999995</v>
      </c>
      <c r="W35" s="36">
        <v>858.5</v>
      </c>
      <c r="X35" s="36">
        <v>199.6</v>
      </c>
      <c r="Y35" s="30">
        <f t="shared" si="1"/>
        <v>31.199999999999989</v>
      </c>
      <c r="AA35" s="36">
        <v>3325</v>
      </c>
      <c r="AB35" s="30">
        <f t="shared" si="2"/>
        <v>195.59999999999991</v>
      </c>
    </row>
    <row r="36" spans="1:28" s="36" customFormat="1" ht="20.100000000000001" customHeight="1" x14ac:dyDescent="0.15">
      <c r="A36" s="31" t="s">
        <v>205</v>
      </c>
      <c r="B36" s="38">
        <f>ROUND(B35-(B35-B38)/2,0)</f>
        <v>187</v>
      </c>
      <c r="C36" s="33">
        <f>C35-(C35-C38)/2</f>
        <v>793.74758593358354</v>
      </c>
      <c r="D36" s="34">
        <v>2.8</v>
      </c>
      <c r="E36" s="33">
        <f>B36+D36</f>
        <v>189.8</v>
      </c>
      <c r="F36" s="51">
        <f>_xll.HL_T($E$36)</f>
        <v>806.67423665331</v>
      </c>
      <c r="G36" s="33">
        <f>_xll.P_T(E36)</f>
        <v>1.2495257656589573</v>
      </c>
      <c r="H36" s="35">
        <v>0.08</v>
      </c>
      <c r="I36" s="33">
        <f>G36/(1-H36)</f>
        <v>1.358180180064084</v>
      </c>
      <c r="J36" s="33">
        <f>_xll.H_PS($I$36,$F$8)</f>
        <v>2946.0587257209595</v>
      </c>
      <c r="K36" s="33">
        <f>((F29)*(C36-C38)-K35*0.98*(F35-F36))/(J36-F36)/0.98</f>
        <v>17.084804179898658</v>
      </c>
      <c r="M36" s="37"/>
      <c r="U36" s="30"/>
      <c r="V36" s="30">
        <f t="shared" si="0"/>
        <v>152.5</v>
      </c>
      <c r="W36" s="36">
        <v>712.2</v>
      </c>
      <c r="X36" s="36">
        <v>168.4</v>
      </c>
      <c r="Y36" s="30">
        <f t="shared" si="1"/>
        <v>35.400000000000006</v>
      </c>
      <c r="AA36" s="36">
        <v>3129.4</v>
      </c>
      <c r="AB36" s="30">
        <f t="shared" si="2"/>
        <v>199.30000000000018</v>
      </c>
    </row>
    <row r="37" spans="1:28" s="36" customFormat="1" ht="20.100000000000001" customHeight="1" x14ac:dyDescent="0.15">
      <c r="A37" s="39" t="s">
        <v>206</v>
      </c>
      <c r="B37" s="40" t="s">
        <v>207</v>
      </c>
      <c r="C37" s="40" t="s">
        <v>208</v>
      </c>
      <c r="D37" s="40">
        <v>50</v>
      </c>
      <c r="E37" s="40" t="s">
        <v>209</v>
      </c>
      <c r="F37" s="52">
        <f>2*G38</f>
        <v>1.1759999999999999</v>
      </c>
      <c r="G37" s="40" t="s">
        <v>210</v>
      </c>
      <c r="H37" s="40">
        <f>_xll.H_PT('[1]原则性热力系统--无高加'!$F$51,'[1]原则性热力系统--无高加'!$D$51)</f>
        <v>210.34310024561859</v>
      </c>
      <c r="I37" s="40" t="s">
        <v>211</v>
      </c>
      <c r="J37" s="41" t="e">
        <f>F28+#REF!</f>
        <v>#REF!</v>
      </c>
      <c r="K37" s="33"/>
      <c r="M37" s="37"/>
      <c r="U37" s="30"/>
      <c r="V37" s="30">
        <f t="shared" si="0"/>
        <v>124.30000000000007</v>
      </c>
      <c r="W37" s="36">
        <v>559.70000000000005</v>
      </c>
      <c r="X37" s="36">
        <v>133</v>
      </c>
      <c r="Y37" s="30">
        <f t="shared" si="1"/>
        <v>29.299999999999997</v>
      </c>
      <c r="AA37" s="36">
        <v>2930.1</v>
      </c>
      <c r="AB37" s="30">
        <f t="shared" si="2"/>
        <v>175.90000000000009</v>
      </c>
    </row>
    <row r="38" spans="1:28" s="36" customFormat="1" ht="20.100000000000001" customHeight="1" x14ac:dyDescent="0.15">
      <c r="A38" s="31" t="s">
        <v>212</v>
      </c>
      <c r="B38" s="42">
        <v>158</v>
      </c>
      <c r="C38" s="33">
        <f>_xll.HL_T($B$38)</f>
        <v>666.88660543988476</v>
      </c>
      <c r="D38" s="34"/>
      <c r="E38" s="33"/>
      <c r="F38" s="51"/>
      <c r="G38" s="43">
        <v>0.58799999999999997</v>
      </c>
      <c r="H38" s="35">
        <v>0.08</v>
      </c>
      <c r="I38" s="33">
        <f>G38/(1-H38)</f>
        <v>0.63913043478260867</v>
      </c>
      <c r="J38" s="33">
        <f>_xll.H_PS($I$38,$F$8)</f>
        <v>2784.7049632221642</v>
      </c>
      <c r="K38" s="33" t="e">
        <f>(F29*J37*(C38-H37)+(F29-K35-K36-F29*J37)*(C38-C39)-(K35+K36)*(F36-C38)*0.98)/((J38-C38)*0.98+(C38-C39))</f>
        <v>#REF!</v>
      </c>
      <c r="M38" s="37"/>
      <c r="U38" s="30"/>
      <c r="V38" s="30">
        <f t="shared" si="0"/>
        <v>84.199999999999989</v>
      </c>
      <c r="W38" s="36">
        <v>435.4</v>
      </c>
      <c r="X38" s="36">
        <v>103.7</v>
      </c>
      <c r="Y38" s="30">
        <f t="shared" si="1"/>
        <v>20.100000000000009</v>
      </c>
      <c r="AA38" s="36">
        <v>2754.2</v>
      </c>
      <c r="AB38" s="30">
        <f t="shared" si="2"/>
        <v>118.59999999999991</v>
      </c>
    </row>
    <row r="39" spans="1:28" s="36" customFormat="1" ht="20.100000000000001" customHeight="1" x14ac:dyDescent="0.15">
      <c r="A39" s="31" t="s">
        <v>213</v>
      </c>
      <c r="B39" s="38">
        <f>ROUND(B38-(B38-B41)/3,0)</f>
        <v>120</v>
      </c>
      <c r="C39" s="33">
        <f>C38-(C38-C41)/3</f>
        <v>505.67855576725356</v>
      </c>
      <c r="D39" s="34">
        <v>2.8</v>
      </c>
      <c r="E39" s="33">
        <f>B39+D39</f>
        <v>122.8</v>
      </c>
      <c r="F39" s="51">
        <f>_xll.HL_T($E$39)</f>
        <v>515.69400876810801</v>
      </c>
      <c r="G39" s="33">
        <f>_xll.P_T(E39)</f>
        <v>0.21693135193339991</v>
      </c>
      <c r="H39" s="35">
        <v>0.08</v>
      </c>
      <c r="I39" s="33">
        <f>G39/(1-H39)</f>
        <v>0.23579494775369556</v>
      </c>
      <c r="J39" s="33">
        <f>_xll.H_PS($I$39,$F$19)</f>
        <v>2604.0361292333741</v>
      </c>
      <c r="K39" s="33" t="e">
        <f>(F29-K38-K36-K35-J37*(F29))*(C39-C40)/(J39-F39)/0.98</f>
        <v>#REF!</v>
      </c>
      <c r="M39" s="37"/>
      <c r="U39" s="30"/>
      <c r="V39" s="30">
        <f t="shared" si="0"/>
        <v>93.099999999999966</v>
      </c>
      <c r="W39" s="36">
        <v>351.2</v>
      </c>
      <c r="X39" s="36">
        <v>83.6</v>
      </c>
      <c r="Y39" s="30">
        <f t="shared" si="1"/>
        <v>22.199999999999996</v>
      </c>
      <c r="AA39" s="36">
        <v>2635.6</v>
      </c>
      <c r="AB39" s="30">
        <f t="shared" si="2"/>
        <v>127.5</v>
      </c>
    </row>
    <row r="40" spans="1:28" s="36" customFormat="1" ht="20.100000000000001" customHeight="1" x14ac:dyDescent="0.15">
      <c r="A40" s="31" t="s">
        <v>214</v>
      </c>
      <c r="B40" s="38">
        <f>ROUND(B39-(B38-B41)/3,0)</f>
        <v>82</v>
      </c>
      <c r="C40" s="33">
        <f>C39-(C38-C41)/3</f>
        <v>344.47050609462235</v>
      </c>
      <c r="D40" s="34">
        <v>2.8</v>
      </c>
      <c r="E40" s="33">
        <f>B40+D40</f>
        <v>84.8</v>
      </c>
      <c r="F40" s="51">
        <f>_xll.HL_T(E40)</f>
        <v>355.10572427774986</v>
      </c>
      <c r="G40" s="33">
        <f>_xll.P_T(E40)</f>
        <v>5.7415181346206337E-2</v>
      </c>
      <c r="H40" s="35">
        <v>0.08</v>
      </c>
      <c r="I40" s="33">
        <f>G40/(1-H40)</f>
        <v>6.2407805811093842E-2</v>
      </c>
      <c r="J40" s="33">
        <f>_xll.H_PS($I$40,$F$19)</f>
        <v>2394.8177144506244</v>
      </c>
      <c r="K40" s="33" t="e">
        <f>((F29-K38-K36-K35-J37*(F29))*(C40-C41)-0.98*K39*(F39-F40))/0.98/(J40-F40)</f>
        <v>#REF!</v>
      </c>
      <c r="M40" s="37"/>
      <c r="U40" s="30"/>
      <c r="V40" s="30" t="e">
        <f>W40-#REF!</f>
        <v>#REF!</v>
      </c>
      <c r="W40" s="36">
        <v>258.10000000000002</v>
      </c>
      <c r="X40" s="36">
        <v>61.4</v>
      </c>
      <c r="Y40" s="30" t="e">
        <f>X40-#REF!</f>
        <v>#REF!</v>
      </c>
      <c r="AA40" s="36">
        <v>2508.1</v>
      </c>
      <c r="AB40" s="30" t="e">
        <f>AA40-#REF!</f>
        <v>#REF!</v>
      </c>
    </row>
    <row r="41" spans="1:28" s="36" customFormat="1" ht="20.100000000000001" customHeight="1" x14ac:dyDescent="0.15">
      <c r="A41" s="31" t="s">
        <v>215</v>
      </c>
      <c r="B41" s="38">
        <f>_xll.T_P('[1]原则性热力系统--无高加'!$G$55)</f>
        <v>43.761837194026782</v>
      </c>
      <c r="C41" s="33">
        <f>_xll.H_PT('[1]原则性热力系统--无高加'!$G$55,'[1]原则性热力系统--无高加'!$B$55)</f>
        <v>183.26245642199117</v>
      </c>
      <c r="D41" s="34"/>
      <c r="E41" s="38"/>
      <c r="F41" s="51"/>
      <c r="G41" s="34">
        <v>8.9999999999999993E-3</v>
      </c>
      <c r="H41" s="34"/>
      <c r="I41" s="34"/>
      <c r="J41" s="34"/>
      <c r="K41" s="34"/>
      <c r="L41" s="1"/>
    </row>
    <row r="42" spans="1:28" ht="20.100000000000001" customHeight="1" x14ac:dyDescent="0.15">
      <c r="A42" s="84" t="s">
        <v>216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</row>
    <row r="43" spans="1:28" ht="20.100000000000001" customHeight="1" x14ac:dyDescent="0.1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</row>
    <row r="44" spans="1:28" ht="20.100000000000001" customHeight="1" x14ac:dyDescent="0.15">
      <c r="A44" s="74" t="s">
        <v>251</v>
      </c>
      <c r="B44" s="75"/>
      <c r="C44" s="75"/>
      <c r="D44" s="75"/>
      <c r="E44" s="75"/>
      <c r="F44" s="76"/>
    </row>
    <row r="45" spans="1:28" ht="20.100000000000001" customHeight="1" x14ac:dyDescent="0.35">
      <c r="A45" s="6" t="s">
        <v>217</v>
      </c>
      <c r="B45" s="7" t="s">
        <v>218</v>
      </c>
      <c r="C45" s="7" t="s">
        <v>219</v>
      </c>
      <c r="D45" s="7"/>
      <c r="E45" s="7" t="s">
        <v>21</v>
      </c>
      <c r="F45" s="8">
        <v>0.82</v>
      </c>
      <c r="G45" s="67" t="s">
        <v>255</v>
      </c>
    </row>
    <row r="46" spans="1:28" ht="20.100000000000001" customHeight="1" x14ac:dyDescent="0.35">
      <c r="A46" s="6" t="s">
        <v>2</v>
      </c>
      <c r="B46" s="7" t="s">
        <v>23</v>
      </c>
      <c r="C46" s="7" t="s">
        <v>24</v>
      </c>
      <c r="D46" s="7"/>
      <c r="E46" s="7" t="s">
        <v>22</v>
      </c>
      <c r="F46" s="8">
        <f>F3</f>
        <v>0.95</v>
      </c>
      <c r="G46" s="67" t="s">
        <v>255</v>
      </c>
    </row>
    <row r="47" spans="1:28" ht="20.100000000000001" customHeight="1" x14ac:dyDescent="0.35">
      <c r="A47" s="6" t="s">
        <v>3</v>
      </c>
      <c r="B47" s="7" t="s">
        <v>25</v>
      </c>
      <c r="C47" s="7" t="s">
        <v>26</v>
      </c>
      <c r="D47" s="7"/>
      <c r="E47" s="7" t="s">
        <v>22</v>
      </c>
      <c r="F47" s="8">
        <f>F4</f>
        <v>0.97299999999999998</v>
      </c>
      <c r="G47" s="67" t="s">
        <v>255</v>
      </c>
    </row>
    <row r="48" spans="1:28" ht="20.100000000000001" customHeight="1" x14ac:dyDescent="0.15">
      <c r="A48" s="6" t="s">
        <v>4</v>
      </c>
      <c r="B48" s="7" t="s">
        <v>220</v>
      </c>
      <c r="C48" s="7"/>
      <c r="D48" s="9" t="s">
        <v>33</v>
      </c>
      <c r="E48" s="10" t="s">
        <v>28</v>
      </c>
      <c r="F48" s="5">
        <f>F5</f>
        <v>8.83</v>
      </c>
      <c r="G48" s="70" t="s">
        <v>258</v>
      </c>
    </row>
    <row r="49" spans="1:7" ht="20.100000000000001" customHeight="1" x14ac:dyDescent="0.15">
      <c r="A49" s="6" t="s">
        <v>5</v>
      </c>
      <c r="B49" s="12" t="s">
        <v>221</v>
      </c>
      <c r="C49" s="7"/>
      <c r="D49" s="9" t="s">
        <v>202</v>
      </c>
      <c r="E49" s="10" t="s">
        <v>222</v>
      </c>
      <c r="F49" s="5">
        <f>F6</f>
        <v>540</v>
      </c>
      <c r="G49" s="70" t="s">
        <v>258</v>
      </c>
    </row>
    <row r="50" spans="1:7" ht="20.100000000000001" customHeight="1" x14ac:dyDescent="0.15">
      <c r="A50" s="6" t="s">
        <v>6</v>
      </c>
      <c r="B50" s="13" t="s">
        <v>223</v>
      </c>
      <c r="C50" s="7" t="s">
        <v>224</v>
      </c>
      <c r="D50" s="14" t="s">
        <v>29</v>
      </c>
      <c r="E50" s="15" t="s">
        <v>30</v>
      </c>
      <c r="F50" s="5">
        <v>300</v>
      </c>
      <c r="G50" s="70" t="s">
        <v>259</v>
      </c>
    </row>
    <row r="51" spans="1:7" x14ac:dyDescent="0.15">
      <c r="A51" s="6" t="s">
        <v>8</v>
      </c>
      <c r="B51" s="12" t="s">
        <v>225</v>
      </c>
      <c r="C51" s="7"/>
      <c r="D51" s="9" t="s">
        <v>226</v>
      </c>
      <c r="E51" s="10" t="s">
        <v>227</v>
      </c>
      <c r="F51" s="5">
        <f>_xll.S_PT($F$48,$F$49)</f>
        <v>6.7965621973639525</v>
      </c>
    </row>
    <row r="52" spans="1:7" x14ac:dyDescent="0.15">
      <c r="A52" s="6" t="s">
        <v>9</v>
      </c>
      <c r="B52" s="13" t="s">
        <v>168</v>
      </c>
      <c r="C52" s="10" t="s">
        <v>228</v>
      </c>
      <c r="D52" s="9" t="s">
        <v>170</v>
      </c>
      <c r="E52" s="9" t="s">
        <v>227</v>
      </c>
      <c r="F52" s="5">
        <f>_xll.H_PT($F$48,$F$49)</f>
        <v>3488.9820780514765</v>
      </c>
    </row>
    <row r="53" spans="1:7" x14ac:dyDescent="0.15">
      <c r="A53" s="6" t="s">
        <v>10</v>
      </c>
      <c r="B53" s="2" t="s">
        <v>229</v>
      </c>
      <c r="C53" s="2"/>
      <c r="D53" s="9" t="s">
        <v>27</v>
      </c>
      <c r="E53" s="2"/>
      <c r="F53" s="5">
        <f>I35</f>
        <v>2.4165983397810802</v>
      </c>
    </row>
    <row r="54" spans="1:7" x14ac:dyDescent="0.15">
      <c r="A54" s="6" t="s">
        <v>11</v>
      </c>
      <c r="B54" s="20" t="s">
        <v>225</v>
      </c>
      <c r="C54" s="10" t="s">
        <v>230</v>
      </c>
      <c r="D54" s="9" t="s">
        <v>226</v>
      </c>
      <c r="E54" s="9" t="s">
        <v>231</v>
      </c>
      <c r="F54" s="5">
        <f>F51</f>
        <v>6.7965621973639525</v>
      </c>
    </row>
    <row r="55" spans="1:7" x14ac:dyDescent="0.15">
      <c r="A55" s="6" t="s">
        <v>12</v>
      </c>
      <c r="B55" s="12" t="s">
        <v>221</v>
      </c>
      <c r="C55" s="7"/>
      <c r="D55" s="9" t="s">
        <v>202</v>
      </c>
      <c r="E55" s="9" t="s">
        <v>227</v>
      </c>
      <c r="F55" s="5">
        <f>_xll.T_PS($F$53,$F$54)</f>
        <v>332.95203764991516</v>
      </c>
    </row>
    <row r="56" spans="1:7" x14ac:dyDescent="0.15">
      <c r="A56" s="6" t="s">
        <v>13</v>
      </c>
      <c r="B56" s="20" t="s">
        <v>168</v>
      </c>
      <c r="C56" s="10" t="s">
        <v>232</v>
      </c>
      <c r="D56" s="9" t="s">
        <v>170</v>
      </c>
      <c r="E56" s="9" t="s">
        <v>227</v>
      </c>
      <c r="F56" s="5">
        <f>_xll.H_PS($F$53,$F$54)</f>
        <v>3089.6754159269049</v>
      </c>
    </row>
    <row r="57" spans="1:7" x14ac:dyDescent="0.15">
      <c r="A57" s="6" t="s">
        <v>14</v>
      </c>
      <c r="B57" s="13" t="s">
        <v>223</v>
      </c>
      <c r="C57" s="7" t="s">
        <v>233</v>
      </c>
      <c r="D57" s="14" t="s">
        <v>29</v>
      </c>
      <c r="E57" s="2"/>
      <c r="F57" s="5">
        <f>K35</f>
        <v>18.010951273015337</v>
      </c>
    </row>
    <row r="58" spans="1:7" x14ac:dyDescent="0.15">
      <c r="A58" s="6" t="s">
        <v>15</v>
      </c>
      <c r="B58" s="2" t="s">
        <v>234</v>
      </c>
      <c r="C58" s="2" t="s">
        <v>235</v>
      </c>
      <c r="D58" s="2" t="s">
        <v>236</v>
      </c>
      <c r="E58" s="2"/>
      <c r="F58" s="47">
        <f>(F50)*(F52-F56)*F46*F47*F45/3.6</f>
        <v>25221.772730881261</v>
      </c>
      <c r="G58" s="66" t="s">
        <v>256</v>
      </c>
    </row>
    <row r="59" spans="1:7" x14ac:dyDescent="0.15">
      <c r="A59" s="6" t="s">
        <v>16</v>
      </c>
      <c r="B59" s="2" t="s">
        <v>237</v>
      </c>
      <c r="C59" s="2"/>
      <c r="D59" s="9" t="s">
        <v>33</v>
      </c>
      <c r="E59" s="2"/>
      <c r="F59" s="5">
        <f>I36</f>
        <v>1.358180180064084</v>
      </c>
    </row>
    <row r="60" spans="1:7" x14ac:dyDescent="0.15">
      <c r="A60" s="6" t="s">
        <v>17</v>
      </c>
      <c r="B60" s="20" t="s">
        <v>34</v>
      </c>
      <c r="C60" s="10" t="s">
        <v>35</v>
      </c>
      <c r="D60" s="9" t="s">
        <v>36</v>
      </c>
      <c r="E60" s="9" t="s">
        <v>37</v>
      </c>
      <c r="F60" s="5">
        <f>F54</f>
        <v>6.7965621973639525</v>
      </c>
    </row>
    <row r="61" spans="1:7" x14ac:dyDescent="0.15">
      <c r="A61" s="6" t="s">
        <v>38</v>
      </c>
      <c r="B61" s="12" t="s">
        <v>57</v>
      </c>
      <c r="C61" s="7"/>
      <c r="D61" s="9" t="s">
        <v>55</v>
      </c>
      <c r="E61" s="9" t="s">
        <v>42</v>
      </c>
      <c r="F61" s="5">
        <f>_xll.T_PS($F$59,$F$60)</f>
        <v>257.14076205294816</v>
      </c>
    </row>
    <row r="62" spans="1:7" x14ac:dyDescent="0.15">
      <c r="A62" s="6" t="s">
        <v>41</v>
      </c>
      <c r="B62" s="20" t="s">
        <v>39</v>
      </c>
      <c r="C62" s="10" t="s">
        <v>62</v>
      </c>
      <c r="D62" s="9" t="s">
        <v>40</v>
      </c>
      <c r="E62" s="9" t="s">
        <v>42</v>
      </c>
      <c r="F62" s="5">
        <f>_xll.H_PS($F$59,$F$60)</f>
        <v>2946.0587257209595</v>
      </c>
    </row>
    <row r="63" spans="1:7" x14ac:dyDescent="0.15">
      <c r="A63" s="6" t="s">
        <v>43</v>
      </c>
      <c r="B63" s="13" t="s">
        <v>59</v>
      </c>
      <c r="C63" s="7" t="s">
        <v>64</v>
      </c>
      <c r="D63" s="14" t="s">
        <v>56</v>
      </c>
      <c r="E63" s="2"/>
      <c r="F63" s="5">
        <f>K36</f>
        <v>17.084804179898658</v>
      </c>
    </row>
    <row r="64" spans="1:7" x14ac:dyDescent="0.15">
      <c r="A64" s="6" t="s">
        <v>47</v>
      </c>
      <c r="B64" s="2" t="s">
        <v>65</v>
      </c>
      <c r="C64" s="2" t="s">
        <v>44</v>
      </c>
      <c r="D64" s="2" t="s">
        <v>63</v>
      </c>
      <c r="E64" s="2"/>
      <c r="F64" s="47">
        <f>(F50-F57)*(F56-F62)*F47*F46*F45/3.6</f>
        <v>8526.777948658957</v>
      </c>
      <c r="G64" s="66" t="s">
        <v>256</v>
      </c>
    </row>
    <row r="65" spans="1:7" x14ac:dyDescent="0.15">
      <c r="A65" s="6" t="s">
        <v>50</v>
      </c>
      <c r="B65" s="2" t="s">
        <v>66</v>
      </c>
      <c r="C65" s="2"/>
      <c r="D65" s="9" t="s">
        <v>45</v>
      </c>
      <c r="E65" s="2"/>
      <c r="F65" s="5">
        <f>I38</f>
        <v>0.63913043478260867</v>
      </c>
    </row>
    <row r="66" spans="1:7" x14ac:dyDescent="0.15">
      <c r="A66" s="6" t="s">
        <v>51</v>
      </c>
      <c r="B66" s="20" t="s">
        <v>31</v>
      </c>
      <c r="C66" s="10" t="s">
        <v>60</v>
      </c>
      <c r="D66" s="9" t="s">
        <v>32</v>
      </c>
      <c r="E66" s="9" t="s">
        <v>61</v>
      </c>
      <c r="F66" s="5">
        <f>F60</f>
        <v>6.7965621973639525</v>
      </c>
    </row>
    <row r="67" spans="1:7" x14ac:dyDescent="0.15">
      <c r="A67" s="6" t="s">
        <v>52</v>
      </c>
      <c r="B67" s="12" t="s">
        <v>57</v>
      </c>
      <c r="C67" s="7"/>
      <c r="D67" s="9" t="s">
        <v>55</v>
      </c>
      <c r="E67" s="9" t="s">
        <v>42</v>
      </c>
      <c r="F67" s="5">
        <f>_xll.T_PS($F$65,$F$66)</f>
        <v>171.96343124301211</v>
      </c>
    </row>
    <row r="68" spans="1:7" x14ac:dyDescent="0.15">
      <c r="A68" s="6" t="s">
        <v>53</v>
      </c>
      <c r="B68" s="20" t="s">
        <v>39</v>
      </c>
      <c r="C68" s="10" t="s">
        <v>62</v>
      </c>
      <c r="D68" s="9" t="s">
        <v>40</v>
      </c>
      <c r="E68" s="9" t="s">
        <v>42</v>
      </c>
      <c r="F68" s="5">
        <f>_xll.H_PS($F$65,$F$66)</f>
        <v>2784.7049632221642</v>
      </c>
    </row>
    <row r="69" spans="1:7" x14ac:dyDescent="0.15">
      <c r="A69" s="6" t="s">
        <v>67</v>
      </c>
      <c r="B69" s="13" t="s">
        <v>59</v>
      </c>
      <c r="C69" s="7" t="s">
        <v>68</v>
      </c>
      <c r="D69" s="14" t="s">
        <v>56</v>
      </c>
      <c r="E69" s="2"/>
      <c r="F69" s="5" t="e">
        <f>K38</f>
        <v>#REF!</v>
      </c>
    </row>
    <row r="70" spans="1:7" x14ac:dyDescent="0.15">
      <c r="A70" s="6" t="s">
        <v>69</v>
      </c>
      <c r="B70" s="2" t="s">
        <v>70</v>
      </c>
      <c r="C70" s="2" t="s">
        <v>71</v>
      </c>
      <c r="D70" s="2" t="s">
        <v>63</v>
      </c>
      <c r="E70" s="2"/>
      <c r="F70" s="47">
        <f>(F50-F57-F63)*(F62-F68)*F47*F46*F45/3.6</f>
        <v>8999.4467398250254</v>
      </c>
      <c r="G70" s="66" t="s">
        <v>256</v>
      </c>
    </row>
    <row r="71" spans="1:7" ht="15" x14ac:dyDescent="0.15">
      <c r="A71" s="6" t="s">
        <v>72</v>
      </c>
      <c r="B71" s="56" t="s">
        <v>246</v>
      </c>
      <c r="C71" s="18" t="s">
        <v>73</v>
      </c>
      <c r="D71" s="9" t="s">
        <v>45</v>
      </c>
      <c r="E71" s="9" t="s">
        <v>58</v>
      </c>
      <c r="F71" s="57">
        <f>F10</f>
        <v>0.2</v>
      </c>
    </row>
    <row r="72" spans="1:7" x14ac:dyDescent="0.15">
      <c r="A72" s="6" t="s">
        <v>74</v>
      </c>
      <c r="B72" s="12" t="s">
        <v>57</v>
      </c>
      <c r="C72" s="7"/>
      <c r="D72" s="9" t="s">
        <v>55</v>
      </c>
      <c r="E72" s="10" t="s">
        <v>58</v>
      </c>
      <c r="F72" s="16">
        <f>F11</f>
        <v>120.21154916847178</v>
      </c>
    </row>
    <row r="73" spans="1:7" x14ac:dyDescent="0.15">
      <c r="A73" s="6" t="s">
        <v>75</v>
      </c>
      <c r="B73" s="20" t="s">
        <v>31</v>
      </c>
      <c r="C73" s="10" t="s">
        <v>60</v>
      </c>
      <c r="D73" s="9" t="s">
        <v>32</v>
      </c>
      <c r="E73" s="9" t="s">
        <v>61</v>
      </c>
      <c r="F73" s="8">
        <f>F51</f>
        <v>6.7965621973639525</v>
      </c>
    </row>
    <row r="74" spans="1:7" x14ac:dyDescent="0.15">
      <c r="A74" s="6" t="s">
        <v>76</v>
      </c>
      <c r="B74" s="20" t="s">
        <v>39</v>
      </c>
      <c r="C74" s="10" t="s">
        <v>62</v>
      </c>
      <c r="D74" s="9" t="s">
        <v>40</v>
      </c>
      <c r="E74" s="9" t="s">
        <v>77</v>
      </c>
      <c r="F74" s="8">
        <f>F18</f>
        <v>2576.315831975322</v>
      </c>
    </row>
    <row r="75" spans="1:7" ht="14.25" x14ac:dyDescent="0.15">
      <c r="A75" s="6" t="s">
        <v>78</v>
      </c>
      <c r="B75" s="13" t="s">
        <v>59</v>
      </c>
      <c r="C75" s="7" t="s">
        <v>79</v>
      </c>
      <c r="D75" s="14" t="s">
        <v>56</v>
      </c>
      <c r="E75" s="9"/>
      <c r="F75" s="44">
        <f>F15</f>
        <v>0</v>
      </c>
    </row>
    <row r="76" spans="1:7" ht="14.25" x14ac:dyDescent="0.15">
      <c r="A76" s="6" t="s">
        <v>80</v>
      </c>
      <c r="B76" s="2" t="s">
        <v>247</v>
      </c>
      <c r="C76" s="2" t="s">
        <v>81</v>
      </c>
      <c r="D76" s="2" t="s">
        <v>63</v>
      </c>
      <c r="E76" s="2"/>
      <c r="F76" s="53" t="e">
        <f>(F50-F57-F63-F69)*(F68-F74)*F46*F47*F45/3.6</f>
        <v>#REF!</v>
      </c>
      <c r="G76" s="66" t="s">
        <v>256</v>
      </c>
    </row>
    <row r="77" spans="1:7" x14ac:dyDescent="0.15">
      <c r="A77" s="6" t="s">
        <v>82</v>
      </c>
      <c r="B77" s="2" t="s">
        <v>83</v>
      </c>
      <c r="C77" s="2"/>
      <c r="D77" s="9" t="s">
        <v>45</v>
      </c>
      <c r="E77" s="2"/>
      <c r="F77" s="5">
        <f>I39</f>
        <v>0.23579494775369556</v>
      </c>
    </row>
    <row r="78" spans="1:7" x14ac:dyDescent="0.15">
      <c r="A78" s="6" t="s">
        <v>84</v>
      </c>
      <c r="B78" s="20" t="s">
        <v>31</v>
      </c>
      <c r="C78" s="10" t="s">
        <v>60</v>
      </c>
      <c r="D78" s="9" t="s">
        <v>32</v>
      </c>
      <c r="E78" s="9" t="s">
        <v>61</v>
      </c>
      <c r="F78" s="5">
        <f>F66</f>
        <v>6.7965621973639525</v>
      </c>
    </row>
    <row r="79" spans="1:7" x14ac:dyDescent="0.15">
      <c r="A79" s="6" t="s">
        <v>85</v>
      </c>
      <c r="B79" s="12" t="s">
        <v>57</v>
      </c>
      <c r="C79" s="7"/>
      <c r="D79" s="9" t="s">
        <v>55</v>
      </c>
      <c r="E79" s="9" t="s">
        <v>42</v>
      </c>
      <c r="F79" s="5">
        <f>_xll.T_PS($F$77,$F$78)</f>
        <v>125.49662697233066</v>
      </c>
    </row>
    <row r="80" spans="1:7" x14ac:dyDescent="0.15">
      <c r="A80" s="6" t="s">
        <v>86</v>
      </c>
      <c r="B80" s="20" t="s">
        <v>39</v>
      </c>
      <c r="C80" s="10" t="s">
        <v>62</v>
      </c>
      <c r="D80" s="9" t="s">
        <v>40</v>
      </c>
      <c r="E80" s="9" t="s">
        <v>42</v>
      </c>
      <c r="F80" s="5">
        <f>_xll.H_PS($F$77,$F$78)</f>
        <v>2604.0361292333741</v>
      </c>
    </row>
    <row r="81" spans="1:8" x14ac:dyDescent="0.15">
      <c r="A81" s="6" t="s">
        <v>87</v>
      </c>
      <c r="B81" s="13" t="s">
        <v>59</v>
      </c>
      <c r="C81" s="7" t="s">
        <v>88</v>
      </c>
      <c r="D81" s="14" t="s">
        <v>56</v>
      </c>
      <c r="E81" s="2"/>
      <c r="F81" s="5" t="e">
        <f>K39</f>
        <v>#REF!</v>
      </c>
    </row>
    <row r="82" spans="1:8" x14ac:dyDescent="0.15">
      <c r="A82" s="6" t="s">
        <v>89</v>
      </c>
      <c r="B82" s="2" t="s">
        <v>250</v>
      </c>
      <c r="C82" s="2" t="s">
        <v>90</v>
      </c>
      <c r="D82" s="2" t="s">
        <v>63</v>
      </c>
      <c r="E82" s="2"/>
      <c r="F82" s="47" t="e">
        <f>(F50-F75-F57-F63-F69)*(F74-F80)*F46*F47*F45/3.6</f>
        <v>#REF!</v>
      </c>
      <c r="G82" s="66" t="s">
        <v>256</v>
      </c>
    </row>
    <row r="83" spans="1:8" x14ac:dyDescent="0.15">
      <c r="A83" s="6" t="s">
        <v>91</v>
      </c>
      <c r="B83" s="2" t="s">
        <v>92</v>
      </c>
      <c r="C83" s="2"/>
      <c r="D83" s="9" t="s">
        <v>45</v>
      </c>
      <c r="E83" s="2"/>
      <c r="F83" s="5">
        <f>I40</f>
        <v>6.2407805811093842E-2</v>
      </c>
    </row>
    <row r="84" spans="1:8" x14ac:dyDescent="0.15">
      <c r="A84" s="6" t="s">
        <v>93</v>
      </c>
      <c r="B84" s="20" t="s">
        <v>31</v>
      </c>
      <c r="C84" s="10" t="s">
        <v>60</v>
      </c>
      <c r="D84" s="9" t="s">
        <v>32</v>
      </c>
      <c r="E84" s="9" t="s">
        <v>61</v>
      </c>
      <c r="F84" s="5">
        <f>F66</f>
        <v>6.7965621973639525</v>
      </c>
    </row>
    <row r="85" spans="1:8" x14ac:dyDescent="0.15">
      <c r="A85" s="6" t="s">
        <v>94</v>
      </c>
      <c r="B85" s="12" t="s">
        <v>57</v>
      </c>
      <c r="C85" s="7"/>
      <c r="D85" s="9" t="s">
        <v>55</v>
      </c>
      <c r="E85" s="9" t="s">
        <v>42</v>
      </c>
      <c r="F85" s="5">
        <f>_xll.T_PS($F$83,$F$84)</f>
        <v>86.938557955524118</v>
      </c>
    </row>
    <row r="86" spans="1:8" x14ac:dyDescent="0.15">
      <c r="A86" s="6" t="s">
        <v>95</v>
      </c>
      <c r="B86" s="20" t="s">
        <v>39</v>
      </c>
      <c r="C86" s="10" t="s">
        <v>62</v>
      </c>
      <c r="D86" s="9" t="s">
        <v>40</v>
      </c>
      <c r="E86" s="9" t="s">
        <v>42</v>
      </c>
      <c r="F86" s="5">
        <f>_xll.H_PS($F$83,$F$84)</f>
        <v>2394.8177144506244</v>
      </c>
    </row>
    <row r="87" spans="1:8" x14ac:dyDescent="0.15">
      <c r="A87" s="6" t="s">
        <v>96</v>
      </c>
      <c r="B87" s="13" t="s">
        <v>59</v>
      </c>
      <c r="C87" s="7" t="s">
        <v>88</v>
      </c>
      <c r="D87" s="14" t="s">
        <v>56</v>
      </c>
      <c r="E87" s="2"/>
      <c r="F87" s="5" t="e">
        <f>K40</f>
        <v>#REF!</v>
      </c>
    </row>
    <row r="88" spans="1:8" x14ac:dyDescent="0.15">
      <c r="A88" s="6" t="s">
        <v>97</v>
      </c>
      <c r="B88" s="2" t="s">
        <v>98</v>
      </c>
      <c r="C88" s="2" t="s">
        <v>99</v>
      </c>
      <c r="D88" s="2" t="s">
        <v>63</v>
      </c>
      <c r="E88" s="2"/>
      <c r="F88" s="47" t="e">
        <f>(F50-F75-F57-F63-F69-F81)*(F80-F86)*F46*F47*F45/3.6</f>
        <v>#REF!</v>
      </c>
      <c r="G88" s="66" t="s">
        <v>256</v>
      </c>
    </row>
    <row r="89" spans="1:8" x14ac:dyDescent="0.15">
      <c r="A89" s="6" t="s">
        <v>100</v>
      </c>
      <c r="B89" s="13" t="s">
        <v>249</v>
      </c>
      <c r="C89" s="10" t="s">
        <v>44</v>
      </c>
      <c r="D89" s="14" t="s">
        <v>45</v>
      </c>
      <c r="E89" s="9" t="s">
        <v>46</v>
      </c>
      <c r="F89" s="65">
        <v>5.0000000000000001E-3</v>
      </c>
      <c r="H89" s="45"/>
    </row>
    <row r="90" spans="1:8" x14ac:dyDescent="0.15">
      <c r="A90" s="6" t="s">
        <v>101</v>
      </c>
      <c r="B90" s="20" t="s">
        <v>31</v>
      </c>
      <c r="C90" s="10" t="s">
        <v>60</v>
      </c>
      <c r="D90" s="9" t="s">
        <v>32</v>
      </c>
      <c r="E90" s="9" t="s">
        <v>61</v>
      </c>
      <c r="F90" s="5">
        <f>F78</f>
        <v>6.7965621973639525</v>
      </c>
    </row>
    <row r="91" spans="1:8" x14ac:dyDescent="0.15">
      <c r="A91" s="6" t="s">
        <v>102</v>
      </c>
      <c r="B91" s="13" t="s">
        <v>39</v>
      </c>
      <c r="C91" s="10" t="s">
        <v>48</v>
      </c>
      <c r="D91" s="9" t="s">
        <v>40</v>
      </c>
      <c r="E91" s="9" t="s">
        <v>49</v>
      </c>
      <c r="F91" s="8">
        <f>_xll.H_PS($F$89,$F$90)</f>
        <v>2071.935779429929</v>
      </c>
    </row>
    <row r="92" spans="1:8" x14ac:dyDescent="0.15">
      <c r="A92" s="6" t="s">
        <v>103</v>
      </c>
      <c r="B92" s="13" t="s">
        <v>104</v>
      </c>
      <c r="C92" s="10" t="s">
        <v>105</v>
      </c>
      <c r="D92" s="9" t="s">
        <v>106</v>
      </c>
      <c r="E92" s="9"/>
      <c r="F92" s="8">
        <f>F86-(F86-F91)*F45</f>
        <v>2130.0545277336541</v>
      </c>
    </row>
    <row r="93" spans="1:8" x14ac:dyDescent="0.15">
      <c r="A93" s="6" t="s">
        <v>107</v>
      </c>
      <c r="B93" s="13" t="s">
        <v>108</v>
      </c>
      <c r="C93" s="10" t="s">
        <v>109</v>
      </c>
      <c r="D93" s="9" t="s">
        <v>40</v>
      </c>
      <c r="E93" s="10" t="s">
        <v>42</v>
      </c>
      <c r="F93" s="8">
        <f>_xll.HG_P(F89)</f>
        <v>2560.7651042009634</v>
      </c>
    </row>
    <row r="94" spans="1:8" x14ac:dyDescent="0.15">
      <c r="A94" s="6" t="s">
        <v>110</v>
      </c>
      <c r="B94" s="13" t="s">
        <v>54</v>
      </c>
      <c r="C94" s="10" t="s">
        <v>111</v>
      </c>
      <c r="D94" s="9" t="s">
        <v>40</v>
      </c>
      <c r="E94" s="10" t="s">
        <v>42</v>
      </c>
      <c r="F94" s="8">
        <f>_xll.HL_P(F89)</f>
        <v>137.76511893654626</v>
      </c>
    </row>
    <row r="95" spans="1:8" x14ac:dyDescent="0.15">
      <c r="A95" s="6" t="s">
        <v>112</v>
      </c>
      <c r="B95" s="13" t="s">
        <v>113</v>
      </c>
      <c r="C95" s="10" t="s">
        <v>114</v>
      </c>
      <c r="D95" s="9"/>
      <c r="E95" s="9" t="s">
        <v>248</v>
      </c>
      <c r="F95" s="59">
        <f>1-(F92-F94)/(F93-F94)</f>
        <v>0.17775921547119067</v>
      </c>
    </row>
    <row r="96" spans="1:8" ht="14.25" x14ac:dyDescent="0.15">
      <c r="A96" s="6" t="s">
        <v>115</v>
      </c>
      <c r="B96" s="13" t="s">
        <v>59</v>
      </c>
      <c r="C96" s="7" t="s">
        <v>88</v>
      </c>
      <c r="D96" s="14" t="s">
        <v>56</v>
      </c>
      <c r="E96" s="4" t="s">
        <v>116</v>
      </c>
      <c r="F96" s="8" t="e">
        <f>F50-F57-F63-F69+F75-F81-F87</f>
        <v>#REF!</v>
      </c>
    </row>
    <row r="97" spans="1:13" x14ac:dyDescent="0.15">
      <c r="A97" s="6" t="s">
        <v>117</v>
      </c>
      <c r="B97" s="2" t="s">
        <v>118</v>
      </c>
      <c r="C97" s="2" t="s">
        <v>238</v>
      </c>
      <c r="D97" s="2" t="s">
        <v>63</v>
      </c>
      <c r="E97" s="2"/>
      <c r="F97" s="47" t="e">
        <f>(F50-F75-F57-F63-F69-F81-F87)*(F86-F92)*F46*F47*F45/3.6</f>
        <v>#REF!</v>
      </c>
      <c r="G97" s="66" t="s">
        <v>256</v>
      </c>
      <c r="L97" s="3"/>
      <c r="M97" s="3"/>
    </row>
    <row r="98" spans="1:13" ht="14.25" x14ac:dyDescent="0.15">
      <c r="A98" s="6" t="s">
        <v>119</v>
      </c>
      <c r="B98" s="2" t="s">
        <v>239</v>
      </c>
      <c r="C98" s="2"/>
      <c r="D98" s="2"/>
      <c r="E98" s="2"/>
      <c r="F98" s="54" t="e">
        <f>(F97+F88+F82+F70+F64+F58+F76)</f>
        <v>#REF!</v>
      </c>
      <c r="G98" s="66" t="s">
        <v>256</v>
      </c>
    </row>
    <row r="99" spans="1:13" x14ac:dyDescent="0.15">
      <c r="A99" s="6" t="s">
        <v>120</v>
      </c>
      <c r="B99" s="2" t="s">
        <v>240</v>
      </c>
      <c r="C99" s="2"/>
      <c r="D99" s="2"/>
      <c r="E99" s="2" t="s">
        <v>241</v>
      </c>
      <c r="F99" s="58" t="e">
        <f>(F98-F27*1000)/F27/1000</f>
        <v>#REF!</v>
      </c>
      <c r="G99" s="46"/>
    </row>
  </sheetData>
  <mergeCells count="8">
    <mergeCell ref="L4:M4"/>
    <mergeCell ref="N4:O4"/>
    <mergeCell ref="A1:F1"/>
    <mergeCell ref="A30:K30"/>
    <mergeCell ref="A31:K31"/>
    <mergeCell ref="A42:K43"/>
    <mergeCell ref="A44:F44"/>
    <mergeCell ref="K4:K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8" sqref="B128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汽轮机计算-背压</vt:lpstr>
      <vt:lpstr>汽轮机计算-抽凝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2017-11-07T06:12:53Z</dcterms:modified>
</cp:coreProperties>
</file>