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jpeg" ContentType="image/jpeg"/>
  <Override PartName="/xl/embeddings/oleObject3.bin" ContentType="application/vnd.openxmlformats-officedocument.oleObject"/>
  <Override PartName="/xl/embeddings/oleObject4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embeddings/oleObject7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9630" yWindow="30" windowWidth="11130" windowHeight="5835" firstSheet="2" activeTab="8"/>
  </bookViews>
  <sheets>
    <sheet name="需求调查表" sheetId="76" r:id="rId1"/>
    <sheet name="原则性热力系统锅炉部分--无高加" sheetId="75" r:id="rId2"/>
    <sheet name="原则性热力系统汽轮机部分--无高加" sheetId="74" r:id="rId3"/>
    <sheet name="锅炉辅机系统" sheetId="73" r:id="rId4"/>
    <sheet name="烟、风量计算" sheetId="54" r:id="rId5"/>
    <sheet name="烟风系统" sheetId="53" r:id="rId6"/>
    <sheet name="烟阻力" sheetId="58" r:id="rId7"/>
    <sheet name="风阻力" sheetId="57" r:id="rId8"/>
    <sheet name="汽水管道" sheetId="65" r:id="rId9"/>
    <sheet name="循环水系统" sheetId="72" r:id="rId10"/>
    <sheet name="汽机辅机系统" sheetId="60" r:id="rId11"/>
    <sheet name="气体平均定压体积比热容" sheetId="77" r:id="rId12"/>
    <sheet name="烟焓表" sheetId="78" r:id="rId13"/>
    <sheet name="总概算" sheetId="79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1_?" localSheetId="9">#REF!</definedName>
    <definedName name="_1_?">#REF!</definedName>
    <definedName name="_2_??????" localSheetId="9">#REF!</definedName>
    <definedName name="_2_??????">#REF!</definedName>
    <definedName name="_EQA1" localSheetId="9">#REF!</definedName>
    <definedName name="_EQA1">#REF!</definedName>
    <definedName name="_QU2" localSheetId="9">#REF!</definedName>
    <definedName name="_QU2">#REF!</definedName>
    <definedName name="_vV65536" localSheetId="9">#REF!</definedName>
    <definedName name="_vV65536">#REF!</definedName>
    <definedName name="_vV65537" localSheetId="9">#REF!</definedName>
    <definedName name="_vV65537">#REF!</definedName>
    <definedName name="A" localSheetId="9">'[1]BA '!#REF!</definedName>
    <definedName name="A">'[1]BA '!#REF!</definedName>
    <definedName name="aa" localSheetId="9">'[2]BA '!#REF!</definedName>
    <definedName name="aa">'[2]BA '!#REF!</definedName>
    <definedName name="aaa" localSheetId="9">'[3]BA '!#REF!</definedName>
    <definedName name="aaa">'[3]BA '!#REF!</definedName>
    <definedName name="ACON" localSheetId="9">#REF!</definedName>
    <definedName name="ACON">#REF!</definedName>
    <definedName name="ACQU" localSheetId="9">#REF!</definedName>
    <definedName name="ACQU">#REF!</definedName>
    <definedName name="ADS" localSheetId="9">#REF!</definedName>
    <definedName name="ADS">#REF!</definedName>
    <definedName name="AEQ" localSheetId="9">#REF!</definedName>
    <definedName name="AEQ">#REF!</definedName>
    <definedName name="AQ" localSheetId="9">#REF!</definedName>
    <definedName name="AQ">#REF!</definedName>
    <definedName name="AQU" localSheetId="9">#REF!</definedName>
    <definedName name="AQU">#REF!</definedName>
    <definedName name="AS" localSheetId="9">#REF!</definedName>
    <definedName name="AS">#REF!</definedName>
    <definedName name="AX" localSheetId="9">#REF!</definedName>
    <definedName name="AX">#REF!</definedName>
    <definedName name="AZ" localSheetId="9">#REF!</definedName>
    <definedName name="AZ">#REF!</definedName>
    <definedName name="B" localSheetId="9">'[1]BA '!#REF!</definedName>
    <definedName name="B">'[1]BA '!#REF!</definedName>
    <definedName name="bbb" localSheetId="9">#REF!</definedName>
    <definedName name="bbb">#REF!</definedName>
    <definedName name="CCTV" localSheetId="9">[4]CCTV!#REF!</definedName>
    <definedName name="CCTV">[4]CCTV!#REF!</definedName>
    <definedName name="CON">'[5]BA-Pl'!$K$1:$K$65536</definedName>
    <definedName name="contr" localSheetId="9">#REF!</definedName>
    <definedName name="contr">#REF!</definedName>
    <definedName name="controller" localSheetId="9">#REF!</definedName>
    <definedName name="controller">#REF!</definedName>
    <definedName name="cqu">[6]点表!$J$1:$J$65536</definedName>
    <definedName name="C数量" localSheetId="9">#REF!</definedName>
    <definedName name="C数量">#REF!</definedName>
    <definedName name="C型号" localSheetId="9">#REF!</definedName>
    <definedName name="C型号">#REF!</definedName>
    <definedName name="D" localSheetId="9">#REF!</definedName>
    <definedName name="D">#REF!</definedName>
    <definedName name="_xlnm.Database" localSheetId="9">#REF!</definedName>
    <definedName name="_xlnm.Database">#REF!</definedName>
    <definedName name="DD" localSheetId="9">#REF!</definedName>
    <definedName name="DD">#REF!</definedName>
    <definedName name="DDC" localSheetId="9">#REF!</definedName>
    <definedName name="DDC">#REF!</definedName>
    <definedName name="DDC数量" localSheetId="9">#REF!</definedName>
    <definedName name="DDC数量">#REF!</definedName>
    <definedName name="DF" localSheetId="9">#REF!</definedName>
    <definedName name="DF">#REF!</definedName>
    <definedName name="dmt" localSheetId="9">[7]多媒体查询!#REF!</definedName>
    <definedName name="dmt">[7]多媒体查询!#REF!</definedName>
    <definedName name="ds" localSheetId="9">#REF!</definedName>
    <definedName name="ds">#REF!</definedName>
    <definedName name="E" localSheetId="9">#REF!</definedName>
    <definedName name="E">#REF!</definedName>
    <definedName name="ee" localSheetId="9">#REF!</definedName>
    <definedName name="ee">#REF!</definedName>
    <definedName name="EQ">'[5]BA-Pl'!$I$1:$I$65536</definedName>
    <definedName name="EQA">[8]点表!$I$1:$I$65536</definedName>
    <definedName name="EQAG" localSheetId="9">#REF!</definedName>
    <definedName name="EQAG">#REF!</definedName>
    <definedName name="EQU">[6]点表!$I$1:$I$65536</definedName>
    <definedName name="EQUI" localSheetId="9">#REF!</definedName>
    <definedName name="EQUI">#REF!</definedName>
    <definedName name="EQUIPMENT" localSheetId="9">#REF!</definedName>
    <definedName name="EQUIPMENT">#REF!</definedName>
    <definedName name="E数量" localSheetId="9">#REF!</definedName>
    <definedName name="E数量">#REF!</definedName>
    <definedName name="F" localSheetId="9">#REF!</definedName>
    <definedName name="F">#REF!</definedName>
    <definedName name="II" localSheetId="9">[8]点表!#REF!,[8]点表!#REF!,[8]点表!$I$1:$I$65536</definedName>
    <definedName name="II">[8]点表!#REF!,[8]点表!#REF!,[8]点表!$I$1:$I$65536</definedName>
    <definedName name="jf" localSheetId="9">[7]中心机房!#REF!</definedName>
    <definedName name="jf">[7]中心机房!#REF!</definedName>
    <definedName name="JJ" localSheetId="9">[8]点表!#REF!,[8]点表!#REF!,[8]点表!$J$1:$J$65536</definedName>
    <definedName name="JJ">[8]点表!#REF!,[8]点表!#REF!,[8]点表!$J$1:$J$65536</definedName>
    <definedName name="meet" localSheetId="9">[7]会议!#REF!</definedName>
    <definedName name="meet">[7]会议!#REF!</definedName>
    <definedName name="NET" localSheetId="9">#REF!</definedName>
    <definedName name="NET">#REF!</definedName>
    <definedName name="OCON" localSheetId="9">#REF!</definedName>
    <definedName name="OCON">#REF!</definedName>
    <definedName name="OCQU" localSheetId="9">#REF!</definedName>
    <definedName name="OCQU">#REF!</definedName>
    <definedName name="OEQ" localSheetId="9">#REF!</definedName>
    <definedName name="OEQ">#REF!</definedName>
    <definedName name="OQU" localSheetId="9">#REF!</definedName>
    <definedName name="OQU">#REF!</definedName>
    <definedName name="pa" localSheetId="9">[7]公共广播!#REF!</definedName>
    <definedName name="pa">[7]公共广播!#REF!</definedName>
    <definedName name="park" localSheetId="9">[7]停车场!#REF!</definedName>
    <definedName name="park">[7]停车场!#REF!</definedName>
    <definedName name="PC">[9]p2!$D$36</definedName>
    <definedName name="PDS" localSheetId="9">#REF!</definedName>
    <definedName name="PDS">#REF!</definedName>
    <definedName name="_xlnm.Print_Area" localSheetId="9">#REF!</definedName>
    <definedName name="_xlnm.Print_Area">#REF!</definedName>
    <definedName name="Print_Area_MI" localSheetId="9">#REF!</definedName>
    <definedName name="Print_Area_MI">#REF!</definedName>
    <definedName name="Printer">[9]p2!$D$37</definedName>
    <definedName name="Q" localSheetId="9">[7]移动通信!#REF!</definedName>
    <definedName name="Q">[7]移动通信!#REF!</definedName>
    <definedName name="qqq" localSheetId="9">'[2]BA '!#REF!</definedName>
    <definedName name="qqq">'[2]BA '!#REF!</definedName>
    <definedName name="qu" localSheetId="9">#REF!</definedName>
    <definedName name="qu">#REF!</definedName>
    <definedName name="QUA">'[5]BA-Pl'!$J$1:$J$65536</definedName>
    <definedName name="QUAC">'[5]BA-Pl'!$L$1:$L$65536</definedName>
    <definedName name="quan" localSheetId="9">#REF!</definedName>
    <definedName name="quan">#REF!</definedName>
    <definedName name="QUJ" localSheetId="9">#REF!</definedName>
    <definedName name="QUJ">#REF!</definedName>
    <definedName name="QUU" localSheetId="9">#REF!</definedName>
    <definedName name="QUU">#REF!</definedName>
    <definedName name="QW" localSheetId="9">#REF!</definedName>
    <definedName name="QW">#REF!</definedName>
    <definedName name="REF_A_DISC58226780" localSheetId="9">#REF!</definedName>
    <definedName name="REF_A_DISC58226780">#REF!</definedName>
    <definedName name="REF_B_DISC58226780" localSheetId="9">#REF!</definedName>
    <definedName name="REF_B_DISC58226780">#REF!</definedName>
    <definedName name="REF_D_DISC58226780" localSheetId="9">#REF!</definedName>
    <definedName name="REF_D_DISC58226780">#REF!</definedName>
    <definedName name="REF_F_DISC58226780" localSheetId="9">#REF!</definedName>
    <definedName name="REF_F_DISC58226780">#REF!</definedName>
    <definedName name="REF_H_DISC58226780" localSheetId="9">#REF!</definedName>
    <definedName name="REF_H_DISC58226780">#REF!</definedName>
    <definedName name="s" localSheetId="9">#REF!</definedName>
    <definedName name="s">#REF!</definedName>
    <definedName name="SD" localSheetId="9">#REF!</definedName>
    <definedName name="SD">#REF!</definedName>
    <definedName name="SENSER" localSheetId="9">#REF!</definedName>
    <definedName name="SENSER">#REF!</definedName>
    <definedName name="SENSER数量" localSheetId="9">#REF!</definedName>
    <definedName name="SENSER数量">#REF!</definedName>
    <definedName name="T" localSheetId="9">#REF!</definedName>
    <definedName name="T">#REF!</definedName>
    <definedName name="T_MCE3" localSheetId="9">#REF!</definedName>
    <definedName name="T_MCE3">#REF!</definedName>
    <definedName name="TS" localSheetId="9">[7]BA!#REF!</definedName>
    <definedName name="TS">[7]BA!#REF!</definedName>
    <definedName name="WQ" localSheetId="9">#REF!</definedName>
    <definedName name="WQ">#REF!</definedName>
    <definedName name="WW" localSheetId="9">#REF!</definedName>
    <definedName name="WW">#REF!</definedName>
    <definedName name="WY" localSheetId="9">[7]物业!#REF!</definedName>
    <definedName name="WY">[7]物业!#REF!</definedName>
    <definedName name="XD505_XBS">[9]p2!$D$25</definedName>
    <definedName name="XPC500">[9]p2!$D$24</definedName>
    <definedName name="yd" localSheetId="9">[7]移动通信!#REF!</definedName>
    <definedName name="yd">[7]移动通信!#REF!</definedName>
    <definedName name="za" localSheetId="9">[7]防雷接地!#REF!</definedName>
    <definedName name="za">[7]防雷接地!#REF!</definedName>
    <definedName name="设备型号" localSheetId="9">#REF!</definedName>
    <definedName name="设备型号">#REF!</definedName>
    <definedName name="数量" localSheetId="9">#REF!</definedName>
    <definedName name="数量">#REF!</definedName>
    <definedName name="型号" localSheetId="9">#REF!</definedName>
    <definedName name="型号">#REF!</definedName>
  </definedNames>
  <calcPr calcId="124519"/>
</workbook>
</file>

<file path=xl/calcChain.xml><?xml version="1.0" encoding="utf-8"?>
<calcChain xmlns="http://schemas.openxmlformats.org/spreadsheetml/2006/main">
  <c r="C25" i="79"/>
  <c r="G20"/>
  <c r="G19"/>
  <c r="G18"/>
  <c r="G16"/>
  <c r="G15"/>
  <c r="E13"/>
  <c r="E25" s="1"/>
  <c r="D13"/>
  <c r="D25" s="1"/>
  <c r="C13"/>
  <c r="F17" s="1"/>
  <c r="G11"/>
  <c r="G10"/>
  <c r="G9"/>
  <c r="G8"/>
  <c r="G7"/>
  <c r="G6"/>
  <c r="G5"/>
  <c r="E4"/>
  <c r="D4"/>
  <c r="C4"/>
  <c r="G4" s="1"/>
  <c r="G30" i="78"/>
  <c r="F30"/>
  <c r="B30"/>
  <c r="C30"/>
  <c r="D30"/>
  <c r="E30"/>
  <c r="F22" i="79" l="1"/>
  <c r="G17"/>
  <c r="G13"/>
  <c r="G66" i="77"/>
  <c r="F66"/>
  <c r="C66"/>
  <c r="G65"/>
  <c r="F65"/>
  <c r="E65"/>
  <c r="E66" s="1"/>
  <c r="D65"/>
  <c r="D66" s="1"/>
  <c r="C65"/>
  <c r="Q38"/>
  <c r="P38"/>
  <c r="M38"/>
  <c r="L38"/>
  <c r="I38"/>
  <c r="H38"/>
  <c r="E38"/>
  <c r="D38"/>
  <c r="S37"/>
  <c r="S38" s="1"/>
  <c r="R37"/>
  <c r="R38" s="1"/>
  <c r="Q37"/>
  <c r="P37"/>
  <c r="O37"/>
  <c r="O38" s="1"/>
  <c r="N37"/>
  <c r="N38" s="1"/>
  <c r="M37"/>
  <c r="L37"/>
  <c r="K37"/>
  <c r="K38" s="1"/>
  <c r="J37"/>
  <c r="J38" s="1"/>
  <c r="I37"/>
  <c r="H37"/>
  <c r="G37"/>
  <c r="G38" s="1"/>
  <c r="F37"/>
  <c r="F38" s="1"/>
  <c r="E37"/>
  <c r="D37"/>
  <c r="C37"/>
  <c r="C38" s="1"/>
  <c r="S33"/>
  <c r="R33"/>
  <c r="O33"/>
  <c r="N33"/>
  <c r="K33"/>
  <c r="J33"/>
  <c r="G33"/>
  <c r="F33"/>
  <c r="C33"/>
  <c r="S32"/>
  <c r="R32"/>
  <c r="Q32"/>
  <c r="Q33" s="1"/>
  <c r="P32"/>
  <c r="P33" s="1"/>
  <c r="O32"/>
  <c r="N32"/>
  <c r="M32"/>
  <c r="M33" s="1"/>
  <c r="L32"/>
  <c r="L33" s="1"/>
  <c r="K32"/>
  <c r="J32"/>
  <c r="I32"/>
  <c r="I33" s="1"/>
  <c r="H32"/>
  <c r="H33" s="1"/>
  <c r="G32"/>
  <c r="F32"/>
  <c r="E32"/>
  <c r="E33" s="1"/>
  <c r="D32"/>
  <c r="D33" s="1"/>
  <c r="C32"/>
  <c r="F14" i="75"/>
  <c r="F16"/>
  <c r="F17"/>
  <c r="F8"/>
  <c r="F25" i="79" l="1"/>
  <c r="G22"/>
  <c r="N5" i="75"/>
  <c r="F3"/>
  <c r="F12" s="1"/>
  <c r="F18" s="1"/>
  <c r="F88" i="74"/>
  <c r="F91"/>
  <c r="F90"/>
  <c r="F26" i="79" l="1"/>
  <c r="G25"/>
  <c r="K10" i="75"/>
  <c r="F86" i="74"/>
  <c r="F83"/>
  <c r="F76"/>
  <c r="F77"/>
  <c r="F82"/>
  <c r="H10" i="79" l="1"/>
  <c r="H8"/>
  <c r="H6"/>
  <c r="H11"/>
  <c r="H9"/>
  <c r="H5"/>
  <c r="E26"/>
  <c r="C26"/>
  <c r="H4"/>
  <c r="D26"/>
  <c r="H13"/>
  <c r="F72" i="74"/>
  <c r="F71"/>
  <c r="G26" i="79" l="1"/>
  <c r="H7" s="1"/>
  <c r="F67" i="74"/>
  <c r="F57"/>
  <c r="F58"/>
  <c r="F48"/>
  <c r="F63"/>
  <c r="F51"/>
  <c r="F64"/>
  <c r="F52"/>
  <c r="F47"/>
  <c r="F69" l="1"/>
  <c r="F50" s="1"/>
  <c r="F56" s="1"/>
  <c r="F62" s="1"/>
  <c r="F45"/>
  <c r="F44"/>
  <c r="F43"/>
  <c r="F42"/>
  <c r="F41"/>
  <c r="F89" s="1"/>
  <c r="F92" s="1"/>
  <c r="C37"/>
  <c r="B37"/>
  <c r="F81" l="1"/>
  <c r="F75"/>
  <c r="F87" s="1"/>
  <c r="AB36"/>
  <c r="Y36"/>
  <c r="V36"/>
  <c r="G36"/>
  <c r="J36"/>
  <c r="F36"/>
  <c r="I36" l="1"/>
  <c r="F80" s="1"/>
  <c r="AB35"/>
  <c r="Y35"/>
  <c r="V35"/>
  <c r="F35"/>
  <c r="G35"/>
  <c r="J35"/>
  <c r="I35" l="1"/>
  <c r="F74" s="1"/>
  <c r="B35"/>
  <c r="B36" s="1"/>
  <c r="E36" s="1"/>
  <c r="AB34"/>
  <c r="Y34"/>
  <c r="V34"/>
  <c r="J34"/>
  <c r="E35" l="1"/>
  <c r="I34"/>
  <c r="F61" s="1"/>
  <c r="C34"/>
  <c r="C35" l="1"/>
  <c r="C36" s="1"/>
  <c r="AB33"/>
  <c r="Y33"/>
  <c r="V33"/>
  <c r="J33"/>
  <c r="F33"/>
  <c r="AB32"/>
  <c r="Y32"/>
  <c r="V32"/>
  <c r="J32"/>
  <c r="H33"/>
  <c r="F32"/>
  <c r="G32"/>
  <c r="I32" l="1"/>
  <c r="E32"/>
  <c r="B32"/>
  <c r="AB31"/>
  <c r="Y31"/>
  <c r="V31"/>
  <c r="J31"/>
  <c r="F31"/>
  <c r="G31"/>
  <c r="I31" l="1"/>
  <c r="E31"/>
  <c r="C31"/>
  <c r="C32" l="1"/>
  <c r="AB30"/>
  <c r="Y30"/>
  <c r="V30"/>
  <c r="AB29"/>
  <c r="Y29"/>
  <c r="V29"/>
  <c r="Y24"/>
  <c r="V24"/>
  <c r="U23"/>
  <c r="R23"/>
  <c r="U22"/>
  <c r="R22"/>
  <c r="U21"/>
  <c r="R21"/>
  <c r="U20"/>
  <c r="R20"/>
  <c r="F17"/>
  <c r="U15"/>
  <c r="R15"/>
  <c r="U14"/>
  <c r="R14"/>
  <c r="U13"/>
  <c r="R13"/>
  <c r="U12"/>
  <c r="R12"/>
  <c r="F12"/>
  <c r="F21"/>
  <c r="F14"/>
  <c r="X28"/>
  <c r="F13"/>
  <c r="F11"/>
  <c r="F68" l="1"/>
  <c r="J9"/>
  <c r="J8"/>
  <c r="K9"/>
  <c r="K8"/>
  <c r="F9"/>
  <c r="F8"/>
  <c r="I9"/>
  <c r="I8"/>
  <c r="F19" l="1"/>
  <c r="I10"/>
  <c r="J10"/>
  <c r="K7"/>
  <c r="F7"/>
  <c r="K6"/>
  <c r="N6"/>
  <c r="J6"/>
  <c r="F98" l="1"/>
  <c r="F102" s="1"/>
  <c r="F99"/>
  <c r="F46"/>
  <c r="K31"/>
  <c r="F53" s="1"/>
  <c r="F22"/>
  <c r="F23" s="1"/>
  <c r="F18"/>
  <c r="F70" s="1"/>
  <c r="F16"/>
  <c r="F137" i="73"/>
  <c r="F111"/>
  <c r="F104"/>
  <c r="F117"/>
  <c r="F124"/>
  <c r="F125"/>
  <c r="F128"/>
  <c r="F116"/>
  <c r="F123"/>
  <c r="F112"/>
  <c r="F141"/>
  <c r="F126"/>
  <c r="F98"/>
  <c r="F108"/>
  <c r="F73" i="74" l="1"/>
  <c r="F60"/>
  <c r="F54"/>
  <c r="K32"/>
  <c r="F99" i="73"/>
  <c r="F113"/>
  <c r="F119" s="1"/>
  <c r="F127"/>
  <c r="F129" s="1"/>
  <c r="F93"/>
  <c r="F91"/>
  <c r="F84"/>
  <c r="F78"/>
  <c r="F76"/>
  <c r="F75"/>
  <c r="F79" s="1"/>
  <c r="F80" s="1"/>
  <c r="F70"/>
  <c r="F64"/>
  <c r="F55"/>
  <c r="F52"/>
  <c r="F51"/>
  <c r="F49"/>
  <c r="F31"/>
  <c r="F17"/>
  <c r="E2"/>
  <c r="E4" s="1"/>
  <c r="E6" s="1"/>
  <c r="E8" s="1"/>
  <c r="E10" s="1"/>
  <c r="F36"/>
  <c r="F21"/>
  <c r="F33"/>
  <c r="F19"/>
  <c r="F35"/>
  <c r="F59" i="74" l="1"/>
  <c r="K34"/>
  <c r="F85" i="73"/>
  <c r="F86" s="1"/>
  <c r="F140"/>
  <c r="F142" s="1"/>
  <c r="F133"/>
  <c r="F134" s="1"/>
  <c r="F138" s="1"/>
  <c r="F37"/>
  <c r="F22"/>
  <c r="F66" i="74" l="1"/>
  <c r="F65"/>
  <c r="F79" s="1"/>
  <c r="K35"/>
  <c r="F78" s="1"/>
  <c r="F25" i="73"/>
  <c r="F40"/>
  <c r="F42" s="1"/>
  <c r="F85" i="74" l="1"/>
  <c r="K36"/>
  <c r="F84" s="1"/>
  <c r="F93" s="1"/>
  <c r="F94" l="1"/>
  <c r="F95" s="1"/>
  <c r="F96" s="1"/>
  <c r="F101" l="1"/>
  <c r="F100"/>
  <c r="F104" s="1"/>
  <c r="F103"/>
  <c r="F106"/>
  <c r="F107" l="1"/>
  <c r="F109" s="1"/>
  <c r="F111" l="1"/>
  <c r="F110"/>
  <c r="F112"/>
  <c r="F32" i="53" l="1"/>
  <c r="AJ34" i="54"/>
  <c r="AJ27"/>
  <c r="E36" i="72"/>
  <c r="E43" s="1"/>
  <c r="E27"/>
  <c r="E35" s="1"/>
  <c r="E25"/>
  <c r="E21"/>
  <c r="E18"/>
  <c r="E19" s="1"/>
  <c r="E20" s="1"/>
  <c r="F20" s="1"/>
  <c r="E16"/>
  <c r="E13"/>
  <c r="E14" s="1"/>
  <c r="G10"/>
  <c r="F6"/>
  <c r="F8" s="1"/>
  <c r="E6"/>
  <c r="E8" s="1"/>
  <c r="F3"/>
  <c r="E44" l="1"/>
  <c r="E41"/>
  <c r="E42" s="1"/>
  <c r="F3" i="53" l="1"/>
  <c r="F40"/>
  <c r="F21"/>
  <c r="F24" l="1"/>
  <c r="F25" s="1"/>
  <c r="F64" i="60" l="1"/>
  <c r="F58"/>
  <c r="F53"/>
  <c r="F57" s="1"/>
  <c r="F47"/>
  <c r="F61" l="1"/>
  <c r="F49"/>
  <c r="F50"/>
  <c r="F62" l="1"/>
  <c r="F65" l="1"/>
  <c r="F66" l="1"/>
  <c r="F67" s="1"/>
  <c r="F68" s="1"/>
  <c r="V130" i="54"/>
  <c r="V133" s="1"/>
  <c r="V123"/>
  <c r="V125" s="1"/>
  <c r="V117"/>
  <c r="V119" s="1"/>
  <c r="V110"/>
  <c r="V113" s="1"/>
  <c r="V109"/>
  <c r="V112" s="1"/>
  <c r="V102"/>
  <c r="V101"/>
  <c r="V104" s="1"/>
  <c r="F136" i="53"/>
  <c r="F143" s="1"/>
  <c r="G14"/>
  <c r="F41" s="1"/>
  <c r="F46" s="1"/>
  <c r="F128"/>
  <c r="F132" s="1"/>
  <c r="F28" i="65"/>
  <c r="F12"/>
  <c r="I53"/>
  <c r="K53" s="1"/>
  <c r="J53"/>
  <c r="L53" s="1"/>
  <c r="O53"/>
  <c r="P53"/>
  <c r="G55"/>
  <c r="J55"/>
  <c r="L55"/>
  <c r="N55"/>
  <c r="P55"/>
  <c r="O56"/>
  <c r="P56"/>
  <c r="G57"/>
  <c r="J57"/>
  <c r="L57"/>
  <c r="N57"/>
  <c r="O57"/>
  <c r="P57"/>
  <c r="F63"/>
  <c r="F69" s="1"/>
  <c r="G63"/>
  <c r="H63"/>
  <c r="H69" s="1"/>
  <c r="I63"/>
  <c r="I69" s="1"/>
  <c r="J63"/>
  <c r="J69" s="1"/>
  <c r="K63"/>
  <c r="K59" s="1"/>
  <c r="L63"/>
  <c r="L59" s="1"/>
  <c r="M63"/>
  <c r="M69" s="1"/>
  <c r="N63"/>
  <c r="N69" s="1"/>
  <c r="O63"/>
  <c r="P63"/>
  <c r="P69" s="1"/>
  <c r="G69"/>
  <c r="I81"/>
  <c r="I76" s="1"/>
  <c r="I85"/>
  <c r="I83" s="1"/>
  <c r="I91"/>
  <c r="I88" s="1"/>
  <c r="I87" s="1"/>
  <c r="I101"/>
  <c r="I99" s="1"/>
  <c r="I97" s="1"/>
  <c r="J76"/>
  <c r="J85"/>
  <c r="J83" s="1"/>
  <c r="J97"/>
  <c r="K81"/>
  <c r="K76" s="1"/>
  <c r="K85"/>
  <c r="K83" s="1"/>
  <c r="K95"/>
  <c r="K92"/>
  <c r="K87" s="1"/>
  <c r="K101"/>
  <c r="K99" s="1"/>
  <c r="K105"/>
  <c r="K103" s="1"/>
  <c r="L76"/>
  <c r="L85"/>
  <c r="L83" s="1"/>
  <c r="L97"/>
  <c r="M81"/>
  <c r="M76" s="1"/>
  <c r="M85"/>
  <c r="M83" s="1"/>
  <c r="M91"/>
  <c r="M88" s="1"/>
  <c r="M87" s="1"/>
  <c r="M101"/>
  <c r="M99" s="1"/>
  <c r="M97" s="1"/>
  <c r="N81"/>
  <c r="N76" s="1"/>
  <c r="N85"/>
  <c r="N83" s="1"/>
  <c r="N97"/>
  <c r="O81"/>
  <c r="O76" s="1"/>
  <c r="O85"/>
  <c r="O83" s="1"/>
  <c r="O101"/>
  <c r="O99" s="1"/>
  <c r="O105"/>
  <c r="O103" s="1"/>
  <c r="P81"/>
  <c r="P76" s="1"/>
  <c r="P85"/>
  <c r="P83" s="1"/>
  <c r="P97"/>
  <c r="N79"/>
  <c r="P79"/>
  <c r="AJ38" i="54"/>
  <c r="AJ39"/>
  <c r="AJ41"/>
  <c r="AJ35"/>
  <c r="W9"/>
  <c r="AJ9"/>
  <c r="AM9"/>
  <c r="Q9"/>
  <c r="N9"/>
  <c r="J9"/>
  <c r="AG9"/>
  <c r="AJ36"/>
  <c r="AA9"/>
  <c r="AJ83"/>
  <c r="AJ87"/>
  <c r="AJ82"/>
  <c r="AJ89" s="1"/>
  <c r="AJ52"/>
  <c r="AJ53"/>
  <c r="AJ54"/>
  <c r="AJ13"/>
  <c r="AJ20" s="1"/>
  <c r="AJ21"/>
  <c r="AJ56"/>
  <c r="AJ55"/>
  <c r="AJ29"/>
  <c r="AJ47" s="1"/>
  <c r="L9"/>
  <c r="T9"/>
  <c r="AD9"/>
  <c r="AJ40"/>
  <c r="AJ24"/>
  <c r="F7" i="60"/>
  <c r="F13" s="1"/>
  <c r="F34"/>
  <c r="F40" s="1"/>
  <c r="F21"/>
  <c r="F27" s="1"/>
  <c r="F142" i="53"/>
  <c r="F124"/>
  <c r="F129" s="1"/>
  <c r="F14"/>
  <c r="F22" s="1"/>
  <c r="F26" s="1"/>
  <c r="H14"/>
  <c r="F59" s="1"/>
  <c r="F62" s="1"/>
  <c r="F63" s="1"/>
  <c r="F44"/>
  <c r="F45" s="1"/>
  <c r="I39"/>
  <c r="I19"/>
  <c r="F9" i="58"/>
  <c r="F15"/>
  <c r="F28"/>
  <c r="F27" s="1"/>
  <c r="F32"/>
  <c r="F31" s="1"/>
  <c r="F38"/>
  <c r="F48" s="1"/>
  <c r="F39"/>
  <c r="F43" s="1"/>
  <c r="F40"/>
  <c r="F42" s="1"/>
  <c r="F61"/>
  <c r="F60" s="1"/>
  <c r="F66"/>
  <c r="F65" s="1"/>
  <c r="F64" s="1"/>
  <c r="F74"/>
  <c r="F84" s="1"/>
  <c r="F75"/>
  <c r="F79" s="1"/>
  <c r="F81" s="1"/>
  <c r="F82" s="1"/>
  <c r="F76"/>
  <c r="F78" s="1"/>
  <c r="F100"/>
  <c r="F99" s="1"/>
  <c r="F98" s="1"/>
  <c r="F95" s="1"/>
  <c r="F94" s="1"/>
  <c r="F10" i="57"/>
  <c r="F28"/>
  <c r="F38"/>
  <c r="F46"/>
  <c r="H46" s="1"/>
  <c r="H48" s="1"/>
  <c r="F55"/>
  <c r="F68"/>
  <c r="F66" s="1"/>
  <c r="G7" i="53"/>
  <c r="F7"/>
  <c r="AP6" i="54"/>
  <c r="AJ30"/>
  <c r="AJ81"/>
  <c r="AJ84"/>
  <c r="AJ90"/>
  <c r="AJ91"/>
  <c r="F15" i="65"/>
  <c r="O59" l="1"/>
  <c r="I79"/>
  <c r="L69"/>
  <c r="AJ92" i="54"/>
  <c r="I59" i="65"/>
  <c r="I67" s="1"/>
  <c r="F59"/>
  <c r="F60" s="1"/>
  <c r="F71" s="1"/>
  <c r="F66" s="1"/>
  <c r="F27" i="57"/>
  <c r="K79" i="65"/>
  <c r="O79"/>
  <c r="O97"/>
  <c r="O75" s="1"/>
  <c r="K69"/>
  <c r="V105" i="54"/>
  <c r="AG103" s="1"/>
  <c r="AG102"/>
  <c r="AJ88"/>
  <c r="AJ86"/>
  <c r="AJ93"/>
  <c r="F67" i="65"/>
  <c r="F59" i="58"/>
  <c r="F58" s="1"/>
  <c r="K97" i="65"/>
  <c r="F6" i="58"/>
  <c r="F10" s="1"/>
  <c r="F12" s="1"/>
  <c r="F13" s="1"/>
  <c r="F14" s="1"/>
  <c r="J75" i="65"/>
  <c r="I75"/>
  <c r="F146" i="53"/>
  <c r="F55"/>
  <c r="AJ26" i="54"/>
  <c r="AJ22"/>
  <c r="AJ28" s="1"/>
  <c r="AJ17"/>
  <c r="AS40" s="1"/>
  <c r="F45" i="58"/>
  <c r="F46" s="1"/>
  <c r="F47" s="1"/>
  <c r="L60" i="65"/>
  <c r="L67"/>
  <c r="O67"/>
  <c r="O60"/>
  <c r="O71" s="1"/>
  <c r="O66" s="1"/>
  <c r="K75"/>
  <c r="F144" i="53"/>
  <c r="O69" i="65"/>
  <c r="G59"/>
  <c r="G60" s="1"/>
  <c r="G71" s="1"/>
  <c r="G66" s="1"/>
  <c r="M75"/>
  <c r="F37" i="57"/>
  <c r="F26" i="58"/>
  <c r="F25" s="1"/>
  <c r="AJ45" i="54"/>
  <c r="P59" i="65"/>
  <c r="P60" s="1"/>
  <c r="J59"/>
  <c r="AJ33" i="54"/>
  <c r="F76" i="53"/>
  <c r="F34"/>
  <c r="F7" i="57"/>
  <c r="F67" i="53"/>
  <c r="F70" s="1"/>
  <c r="F48" i="57"/>
  <c r="N75" i="65"/>
  <c r="K67"/>
  <c r="K60"/>
  <c r="K71" s="1"/>
  <c r="K66" s="1"/>
  <c r="F83" i="58"/>
  <c r="F92" s="1"/>
  <c r="F90" s="1"/>
  <c r="F106" s="1"/>
  <c r="F85" i="53"/>
  <c r="AJ94" i="54"/>
  <c r="N59" i="65"/>
  <c r="M59"/>
  <c r="AJ58" i="54"/>
  <c r="AJ23"/>
  <c r="H59" i="65"/>
  <c r="AJ15" i="54"/>
  <c r="AJ25"/>
  <c r="M79" i="65"/>
  <c r="F29"/>
  <c r="F16"/>
  <c r="F20" s="1"/>
  <c r="I60" l="1"/>
  <c r="P67"/>
  <c r="G67"/>
  <c r="F147" i="53"/>
  <c r="F50"/>
  <c r="F52" s="1"/>
  <c r="F54" s="1"/>
  <c r="AJ42" i="54"/>
  <c r="AJ43" s="1"/>
  <c r="F56" i="58"/>
  <c r="F54" s="1"/>
  <c r="F72" s="1"/>
  <c r="F51"/>
  <c r="F52" s="1"/>
  <c r="F49"/>
  <c r="J67" i="65"/>
  <c r="J60"/>
  <c r="O74"/>
  <c r="L71"/>
  <c r="L66" s="1"/>
  <c r="L108"/>
  <c r="L75" s="1"/>
  <c r="L74" s="1"/>
  <c r="F18" i="58"/>
  <c r="F19" s="1"/>
  <c r="F23"/>
  <c r="F21" s="1"/>
  <c r="F36" s="1"/>
  <c r="F16"/>
  <c r="F79" i="53"/>
  <c r="F103"/>
  <c r="P71" i="65"/>
  <c r="P66" s="1"/>
  <c r="P108"/>
  <c r="P75" s="1"/>
  <c r="P74" s="1"/>
  <c r="AS39" i="54"/>
  <c r="AJ57"/>
  <c r="AJ60" s="1"/>
  <c r="AJ48"/>
  <c r="AJ50" s="1"/>
  <c r="F45" i="57"/>
  <c r="F12"/>
  <c r="AJ51" i="54"/>
  <c r="N60" i="65"/>
  <c r="N71" s="1"/>
  <c r="N66" s="1"/>
  <c r="N67"/>
  <c r="F65" i="57"/>
  <c r="F87" i="58"/>
  <c r="F88" s="1"/>
  <c r="F85"/>
  <c r="F71" i="53"/>
  <c r="F73"/>
  <c r="H60" i="65"/>
  <c r="H71" s="1"/>
  <c r="H66" s="1"/>
  <c r="H67"/>
  <c r="F134" i="53"/>
  <c r="F137"/>
  <c r="I71" i="65"/>
  <c r="I66" s="1"/>
  <c r="I74"/>
  <c r="M67"/>
  <c r="M60"/>
  <c r="F88" i="53"/>
  <c r="F94"/>
  <c r="F97" s="1"/>
  <c r="F30"/>
  <c r="F33" s="1"/>
  <c r="K74" i="65"/>
  <c r="F22"/>
  <c r="F23" s="1"/>
  <c r="F24" s="1"/>
  <c r="F107" i="58" l="1"/>
  <c r="N74" i="65"/>
  <c r="J71"/>
  <c r="J66" s="1"/>
  <c r="J74"/>
  <c r="M71"/>
  <c r="M66" s="1"/>
  <c r="M74"/>
  <c r="F139" i="53"/>
  <c r="F14" i="57"/>
  <c r="F15" s="1"/>
  <c r="F16" s="1"/>
  <c r="F100" i="53"/>
  <c r="F98"/>
  <c r="H45" i="57"/>
  <c r="H49" s="1"/>
  <c r="F49"/>
  <c r="F106" i="53"/>
  <c r="F107" s="1"/>
  <c r="F111"/>
  <c r="F114" s="1"/>
  <c r="F115" s="1"/>
  <c r="F89"/>
  <c r="F91"/>
  <c r="F82"/>
  <c r="F80"/>
  <c r="F52" i="57" l="1"/>
  <c r="F53" s="1"/>
  <c r="F54" s="1"/>
  <c r="F50"/>
  <c r="F20"/>
  <c r="F21" s="1"/>
  <c r="F18"/>
  <c r="F25"/>
  <c r="F56" l="1"/>
  <c r="F58"/>
  <c r="F59" s="1"/>
  <c r="F63"/>
  <c r="F61" s="1"/>
  <c r="F73" s="1"/>
  <c r="F23"/>
  <c r="F32" s="1"/>
  <c r="F35"/>
  <c r="F34" s="1"/>
  <c r="F42" s="1"/>
  <c r="F74" l="1"/>
</calcChain>
</file>

<file path=xl/sharedStrings.xml><?xml version="1.0" encoding="utf-8"?>
<sst xmlns="http://schemas.openxmlformats.org/spreadsheetml/2006/main" count="4101" uniqueCount="2028">
  <si>
    <t>ξ4</t>
    <phoneticPr fontId="3" type="noConversion"/>
  </si>
  <si>
    <t>2.2.5</t>
    <phoneticPr fontId="3" type="noConversion"/>
  </si>
  <si>
    <t>阀门的局部阻力系数</t>
    <phoneticPr fontId="3" type="noConversion"/>
  </si>
  <si>
    <t>ξ5</t>
    <phoneticPr fontId="3" type="noConversion"/>
  </si>
  <si>
    <t>ξ51+ξ52+ξ53+ξ54</t>
    <phoneticPr fontId="3" type="noConversion"/>
  </si>
  <si>
    <r>
      <t>2</t>
    </r>
    <r>
      <rPr>
        <sz val="9"/>
        <color indexed="8"/>
        <rFont val="宋体"/>
        <family val="3"/>
        <charset val="134"/>
      </rPr>
      <t>.2.5.1</t>
    </r>
    <phoneticPr fontId="3" type="noConversion"/>
  </si>
  <si>
    <t>滤网</t>
    <phoneticPr fontId="3" type="noConversion"/>
  </si>
  <si>
    <t>ξ51</t>
    <phoneticPr fontId="3" type="noConversion"/>
  </si>
  <si>
    <r>
      <t>2</t>
    </r>
    <r>
      <rPr>
        <sz val="9"/>
        <color indexed="8"/>
        <rFont val="宋体"/>
        <family val="3"/>
        <charset val="134"/>
      </rPr>
      <t>.2.5.2</t>
    </r>
    <phoneticPr fontId="3" type="noConversion"/>
  </si>
  <si>
    <t>闸阀阻力系数</t>
    <phoneticPr fontId="3" type="noConversion"/>
  </si>
  <si>
    <t>ξ'52*n52</t>
    <phoneticPr fontId="3" type="noConversion"/>
  </si>
  <si>
    <t>单个闸阀阻力系数</t>
    <phoneticPr fontId="3" type="noConversion"/>
  </si>
  <si>
    <t>ξ'52</t>
    <phoneticPr fontId="3" type="noConversion"/>
  </si>
  <si>
    <t>8λ</t>
    <phoneticPr fontId="3" type="noConversion"/>
  </si>
  <si>
    <t>闸阀数量</t>
    <phoneticPr fontId="3" type="noConversion"/>
  </si>
  <si>
    <t>n52</t>
    <phoneticPr fontId="3" type="noConversion"/>
  </si>
  <si>
    <r>
      <t>2</t>
    </r>
    <r>
      <rPr>
        <sz val="9"/>
        <color indexed="8"/>
        <rFont val="宋体"/>
        <family val="3"/>
        <charset val="134"/>
      </rPr>
      <t>.2.5.3</t>
    </r>
    <phoneticPr fontId="3" type="noConversion"/>
  </si>
  <si>
    <t>止回阀阻力系数</t>
    <phoneticPr fontId="3" type="noConversion"/>
  </si>
  <si>
    <t>ξ53</t>
    <phoneticPr fontId="3" type="noConversion"/>
  </si>
  <si>
    <t>ξ'53*n53</t>
    <phoneticPr fontId="3" type="noConversion"/>
  </si>
  <si>
    <t>单个止回阀阻力系数</t>
    <phoneticPr fontId="3" type="noConversion"/>
  </si>
  <si>
    <t>ξ'53</t>
    <phoneticPr fontId="3" type="noConversion"/>
  </si>
  <si>
    <t>600λ</t>
    <phoneticPr fontId="3" type="noConversion"/>
  </si>
  <si>
    <t>止回阀数量</t>
    <phoneticPr fontId="3" type="noConversion"/>
  </si>
  <si>
    <t>n53</t>
    <phoneticPr fontId="3" type="noConversion"/>
  </si>
  <si>
    <r>
      <t>2</t>
    </r>
    <r>
      <rPr>
        <sz val="9"/>
        <color indexed="8"/>
        <rFont val="宋体"/>
        <family val="3"/>
        <charset val="134"/>
      </rPr>
      <t>.2.5.4</t>
    </r>
    <phoneticPr fontId="3" type="noConversion"/>
  </si>
  <si>
    <t>调节阀阻力系数</t>
    <phoneticPr fontId="3" type="noConversion"/>
  </si>
  <si>
    <t>ξ54</t>
    <phoneticPr fontId="3" type="noConversion"/>
  </si>
  <si>
    <t>2.2.6</t>
    <phoneticPr fontId="3" type="noConversion"/>
  </si>
  <si>
    <t>流量测量孔板阻力系数</t>
    <phoneticPr fontId="3" type="noConversion"/>
  </si>
  <si>
    <t>ξ6</t>
    <phoneticPr fontId="3" type="noConversion"/>
  </si>
  <si>
    <t>△P2/Hd</t>
    <phoneticPr fontId="3" type="noConversion"/>
  </si>
  <si>
    <t>测量装置压损</t>
    <phoneticPr fontId="3" type="noConversion"/>
  </si>
  <si>
    <t>△P2</t>
    <phoneticPr fontId="3" type="noConversion"/>
  </si>
  <si>
    <t>估计值</t>
    <phoneticPr fontId="3" type="noConversion"/>
  </si>
  <si>
    <t>设计压力</t>
    <phoneticPr fontId="3" type="noConversion"/>
  </si>
  <si>
    <t>设计温度</t>
    <phoneticPr fontId="3" type="noConversion"/>
  </si>
  <si>
    <t>钢材</t>
    <phoneticPr fontId="3" type="noConversion"/>
  </si>
  <si>
    <t>设计温度下许用应力</t>
    <phoneticPr fontId="3" type="noConversion"/>
  </si>
  <si>
    <t>参见常用国产钢材许用应力</t>
    <phoneticPr fontId="3" type="noConversion"/>
  </si>
  <si>
    <t>公称压力</t>
    <phoneticPr fontId="3" type="noConversion"/>
  </si>
  <si>
    <t>PN</t>
    <phoneticPr fontId="3" type="noConversion"/>
  </si>
  <si>
    <t>管子质量流量</t>
    <phoneticPr fontId="3" type="noConversion"/>
  </si>
  <si>
    <t>Q</t>
    <phoneticPr fontId="3" type="noConversion"/>
  </si>
  <si>
    <t>设计参数</t>
    <phoneticPr fontId="3" type="noConversion"/>
  </si>
  <si>
    <t>介质比容</t>
    <phoneticPr fontId="3" type="noConversion"/>
  </si>
  <si>
    <t>v</t>
    <phoneticPr fontId="3" type="noConversion"/>
  </si>
  <si>
    <t>m3/kg</t>
    <phoneticPr fontId="3" type="noConversion"/>
  </si>
  <si>
    <t>管子内径</t>
    <phoneticPr fontId="3" type="noConversion"/>
  </si>
  <si>
    <t>Di</t>
    <phoneticPr fontId="3" type="noConversion"/>
  </si>
  <si>
    <t>mm</t>
    <phoneticPr fontId="3" type="noConversion"/>
  </si>
  <si>
    <t>w</t>
    <phoneticPr fontId="3" type="noConversion"/>
  </si>
  <si>
    <t>594.7*（Qv/w）²</t>
    <phoneticPr fontId="3" type="noConversion"/>
  </si>
  <si>
    <t>锅炉BMCR下工作压力，若有超压，计算超压</t>
    <phoneticPr fontId="3" type="noConversion"/>
  </si>
  <si>
    <t>最大工作压力</t>
    <phoneticPr fontId="3" type="noConversion"/>
  </si>
  <si>
    <t>最大工作温度</t>
    <phoneticPr fontId="3" type="noConversion"/>
  </si>
  <si>
    <t>[µ]t</t>
    <phoneticPr fontId="3" type="noConversion"/>
  </si>
  <si>
    <t>P*[µ]200/[µ]t</t>
    <phoneticPr fontId="3" type="noConversion"/>
  </si>
  <si>
    <t>锅炉过热器出口额定温度+5℃</t>
    <phoneticPr fontId="3" type="noConversion"/>
  </si>
  <si>
    <t>20℃下许用应力</t>
    <phoneticPr fontId="3" type="noConversion"/>
  </si>
  <si>
    <t>[µ]20</t>
    <phoneticPr fontId="3" type="noConversion"/>
  </si>
  <si>
    <t>选取流速</t>
    <phoneticPr fontId="3" type="noConversion"/>
  </si>
  <si>
    <t>ε</t>
  </si>
  <si>
    <t>温度修正系数</t>
    <phoneticPr fontId="3" type="noConversion"/>
  </si>
  <si>
    <t>Y</t>
    <phoneticPr fontId="3" type="noConversion"/>
  </si>
  <si>
    <t>（1）铁素体钢≤482-0.4；510-0.5；≥538-0.7（2）奥氏体钢≤566-0.4；593-0.5；≥621-0.7</t>
    <phoneticPr fontId="3" type="noConversion"/>
  </si>
  <si>
    <t>许用应力修正系数</t>
    <phoneticPr fontId="3" type="noConversion"/>
  </si>
  <si>
    <t>η</t>
  </si>
  <si>
    <t>无缝钢管1.0；螺旋焊管0.9</t>
    <phoneticPr fontId="3" type="noConversion"/>
  </si>
  <si>
    <t>附加厚度</t>
    <phoneticPr fontId="3" type="noConversion"/>
  </si>
  <si>
    <t>α</t>
  </si>
  <si>
    <t>一般不考虑，排污、再循环工业水、高加疏水取2</t>
    <phoneticPr fontId="3" type="noConversion"/>
  </si>
  <si>
    <t>直管最小壁厚</t>
    <phoneticPr fontId="3" type="noConversion"/>
  </si>
  <si>
    <t>Sm</t>
    <phoneticPr fontId="3" type="noConversion"/>
  </si>
  <si>
    <t>见常用数据选取</t>
    <phoneticPr fontId="3" type="noConversion"/>
  </si>
  <si>
    <t>壁厚负偏差系数</t>
    <phoneticPr fontId="3" type="noConversion"/>
  </si>
  <si>
    <t>取负偏差-5%下的A</t>
    <phoneticPr fontId="3" type="noConversion"/>
  </si>
  <si>
    <t>壁厚负偏差附加值</t>
    <phoneticPr fontId="3" type="noConversion"/>
  </si>
  <si>
    <t>C</t>
    <phoneticPr fontId="3" type="noConversion"/>
  </si>
  <si>
    <t>A*sm</t>
    <phoneticPr fontId="3" type="noConversion"/>
  </si>
  <si>
    <t>计算壁厚</t>
    <phoneticPr fontId="3" type="noConversion"/>
  </si>
  <si>
    <t>Sc</t>
    <phoneticPr fontId="3" type="noConversion"/>
  </si>
  <si>
    <t>Sm+c</t>
    <phoneticPr fontId="3" type="noConversion"/>
  </si>
  <si>
    <t>计算外径</t>
    <phoneticPr fontId="3" type="noConversion"/>
  </si>
  <si>
    <t>Do</t>
    <phoneticPr fontId="3" type="noConversion"/>
  </si>
  <si>
    <t>2*Sc+Di</t>
    <phoneticPr fontId="3" type="noConversion"/>
  </si>
  <si>
    <t>取值------公称通径</t>
    <phoneticPr fontId="3" type="noConversion"/>
  </si>
  <si>
    <t>Dn</t>
    <phoneticPr fontId="3" type="noConversion"/>
  </si>
  <si>
    <t>取值------外径</t>
    <phoneticPr fontId="3" type="noConversion"/>
  </si>
  <si>
    <t>取值------壁厚</t>
    <phoneticPr fontId="3" type="noConversion"/>
  </si>
  <si>
    <t>OD</t>
    <phoneticPr fontId="3" type="noConversion"/>
  </si>
  <si>
    <t>S</t>
    <phoneticPr fontId="3" type="noConversion"/>
  </si>
  <si>
    <t>Di’</t>
    <phoneticPr fontId="3" type="noConversion"/>
  </si>
  <si>
    <t>反推流速</t>
    <phoneticPr fontId="3" type="noConversion"/>
  </si>
  <si>
    <t>ε‘</t>
    <phoneticPr fontId="3" type="noConversion"/>
  </si>
  <si>
    <t>取值------内径</t>
    <phoneticPr fontId="3" type="noConversion"/>
  </si>
  <si>
    <t>最终选取管道规格</t>
    <phoneticPr fontId="3" type="noConversion"/>
  </si>
  <si>
    <t>∅194×18</t>
    <phoneticPr fontId="3" type="noConversion"/>
  </si>
  <si>
    <t>12Cr1MoVG</t>
    <phoneticPr fontId="3" type="noConversion"/>
  </si>
  <si>
    <t>℃</t>
    <phoneticPr fontId="3" type="noConversion"/>
  </si>
  <si>
    <t>北方60~70；中部65~75；南方70~80</t>
    <phoneticPr fontId="3" type="noConversion"/>
  </si>
  <si>
    <t xml:space="preserve">   </t>
    <phoneticPr fontId="3" type="noConversion"/>
  </si>
  <si>
    <t>选用型号</t>
    <phoneticPr fontId="3" type="noConversion"/>
  </si>
  <si>
    <t>查询</t>
    <phoneticPr fontId="3" type="noConversion"/>
  </si>
  <si>
    <t>〔1〕</t>
    <phoneticPr fontId="3" type="noConversion"/>
  </si>
  <si>
    <t>kj/kg</t>
    <phoneticPr fontId="3" type="noConversion"/>
  </si>
  <si>
    <t>除氧器凝结水入口与凝汽器热井最低水位间的水柱静压差</t>
  </si>
  <si>
    <t>选用规格</t>
    <phoneticPr fontId="3" type="noConversion"/>
  </si>
  <si>
    <t>r=2950r/min,效率55%，汽蚀余量NPSH=1.4m(型号：150N110)</t>
    <phoneticPr fontId="3" type="noConversion"/>
  </si>
  <si>
    <r>
      <t>流量：110m</t>
    </r>
    <r>
      <rPr>
        <vertAlign val="superscript"/>
        <sz val="10"/>
        <color indexed="10"/>
        <rFont val="宋体"/>
        <family val="3"/>
        <charset val="134"/>
      </rPr>
      <t>3</t>
    </r>
    <r>
      <rPr>
        <sz val="10"/>
        <color indexed="10"/>
        <rFont val="宋体"/>
        <family val="3"/>
        <charset val="134"/>
      </rPr>
      <t>/h；扬程：116m；给水温度：40℃；功率：110kw，10kv</t>
    </r>
    <phoneticPr fontId="3" type="noConversion"/>
  </si>
  <si>
    <t>一用一备</t>
    <phoneticPr fontId="3" type="noConversion"/>
  </si>
  <si>
    <t>汽轮机资料</t>
    <phoneticPr fontId="3" type="noConversion"/>
  </si>
  <si>
    <t>2、射水泵</t>
    <phoneticPr fontId="3" type="noConversion"/>
  </si>
  <si>
    <t>3、射水箱冷却水泵</t>
    <phoneticPr fontId="3" type="noConversion"/>
  </si>
  <si>
    <r>
      <t>ρ</t>
    </r>
    <r>
      <rPr>
        <vertAlign val="subscript"/>
        <sz val="12"/>
        <rFont val="仿宋_GB2312"/>
        <family val="3"/>
        <charset val="134"/>
      </rPr>
      <t>2</t>
    </r>
    <r>
      <rPr>
        <sz val="12"/>
        <rFont val="宋体"/>
        <family val="3"/>
        <charset val="134"/>
      </rPr>
      <t/>
    </r>
  </si>
  <si>
    <t>计算值</t>
    <phoneticPr fontId="3" type="noConversion"/>
  </si>
  <si>
    <t>10KV</t>
    <phoneticPr fontId="3" type="noConversion"/>
  </si>
  <si>
    <t>5800m³/h</t>
    <phoneticPr fontId="3" type="noConversion"/>
  </si>
  <si>
    <t>〔17〕</t>
    <phoneticPr fontId="3" type="noConversion"/>
  </si>
  <si>
    <t>250KW</t>
    <phoneticPr fontId="3" type="noConversion"/>
  </si>
  <si>
    <t>4100Pa</t>
    <phoneticPr fontId="3" type="noConversion"/>
  </si>
  <si>
    <t>143000m³/h</t>
    <phoneticPr fontId="3" type="noConversion"/>
  </si>
  <si>
    <t>180KW</t>
    <phoneticPr fontId="3" type="noConversion"/>
  </si>
  <si>
    <t>5600Pa</t>
    <phoneticPr fontId="3" type="noConversion"/>
  </si>
  <si>
    <t>360V</t>
    <phoneticPr fontId="3" type="noConversion"/>
  </si>
  <si>
    <t>介质流量</t>
    <phoneticPr fontId="3" type="noConversion"/>
  </si>
  <si>
    <t>介质温度</t>
    <phoneticPr fontId="3" type="noConversion"/>
  </si>
  <si>
    <t>流速</t>
    <phoneticPr fontId="3" type="noConversion"/>
  </si>
  <si>
    <t>计算截面积</t>
    <phoneticPr fontId="3" type="noConversion"/>
  </si>
  <si>
    <t>计算管道直径</t>
    <phoneticPr fontId="3" type="noConversion"/>
  </si>
  <si>
    <t>选取直径</t>
    <phoneticPr fontId="3" type="noConversion"/>
  </si>
  <si>
    <t>选取壁厚</t>
    <phoneticPr fontId="3" type="noConversion"/>
  </si>
  <si>
    <t>v</t>
    <phoneticPr fontId="3" type="noConversion"/>
  </si>
  <si>
    <t>m/s</t>
    <phoneticPr fontId="3" type="noConversion"/>
  </si>
  <si>
    <t>A</t>
    <phoneticPr fontId="3" type="noConversion"/>
  </si>
  <si>
    <t>d</t>
    <phoneticPr fontId="3" type="noConversion"/>
  </si>
  <si>
    <t>d‘</t>
    <phoneticPr fontId="3" type="noConversion"/>
  </si>
  <si>
    <t>t</t>
    <phoneticPr fontId="3" type="noConversion"/>
  </si>
  <si>
    <t>m</t>
    <phoneticPr fontId="3" type="noConversion"/>
  </si>
  <si>
    <t>计算书</t>
    <phoneticPr fontId="3" type="noConversion"/>
  </si>
  <si>
    <t>煤气</t>
    <phoneticPr fontId="3" type="noConversion"/>
  </si>
  <si>
    <t>给定</t>
    <phoneticPr fontId="3" type="noConversion"/>
  </si>
  <si>
    <t>煤气管道15-20</t>
    <phoneticPr fontId="3" type="noConversion"/>
  </si>
  <si>
    <t>4、风、烟、煤气管道计算</t>
    <phoneticPr fontId="3" type="noConversion"/>
  </si>
  <si>
    <t>冷风道流速10-12</t>
  </si>
  <si>
    <t>计算当量管道直径</t>
    <phoneticPr fontId="3" type="noConversion"/>
  </si>
  <si>
    <t>长</t>
    <phoneticPr fontId="3" type="noConversion"/>
  </si>
  <si>
    <t>宽</t>
    <phoneticPr fontId="3" type="noConversion"/>
  </si>
  <si>
    <t>L</t>
    <phoneticPr fontId="3" type="noConversion"/>
  </si>
  <si>
    <t>B</t>
    <phoneticPr fontId="3" type="noConversion"/>
  </si>
  <si>
    <t>选用规格</t>
    <phoneticPr fontId="3" type="noConversion"/>
  </si>
  <si>
    <t>1.3×1.8</t>
    <phoneticPr fontId="3" type="noConversion"/>
  </si>
  <si>
    <t>热风道流速15-25</t>
    <phoneticPr fontId="3" type="noConversion"/>
  </si>
  <si>
    <t>1.3×1.0</t>
    <phoneticPr fontId="3" type="noConversion"/>
  </si>
  <si>
    <t>烟道流速10-15</t>
  </si>
  <si>
    <t xml:space="preserve">  4.1、煤气总管道计算</t>
    <phoneticPr fontId="3" type="noConversion"/>
  </si>
  <si>
    <t xml:space="preserve">  4.2、冷风管道计算</t>
    <phoneticPr fontId="3" type="noConversion"/>
  </si>
  <si>
    <t xml:space="preserve">  4.4、烟管道计算-总</t>
    <phoneticPr fontId="3" type="noConversion"/>
  </si>
  <si>
    <t xml:space="preserve">  4.5、烟管道计算-支</t>
    <phoneticPr fontId="3" type="noConversion"/>
  </si>
  <si>
    <t>2.7×2.0</t>
    <phoneticPr fontId="3" type="noConversion"/>
  </si>
  <si>
    <t>1.5×1.8</t>
    <phoneticPr fontId="3" type="noConversion"/>
  </si>
  <si>
    <t xml:space="preserve">  4.3、热风管道计算-空预器出口方管</t>
    <phoneticPr fontId="3" type="noConversion"/>
  </si>
  <si>
    <t xml:space="preserve">  4.6、热风管道计算-母管</t>
    <phoneticPr fontId="3" type="noConversion"/>
  </si>
  <si>
    <t>m2</t>
    <phoneticPr fontId="3" type="noConversion"/>
  </si>
  <si>
    <t xml:space="preserve">  4.7、热风管道计算-入口支管</t>
    <phoneticPr fontId="3" type="noConversion"/>
  </si>
  <si>
    <t>5、烟囱计算</t>
    <phoneticPr fontId="3" type="noConversion"/>
  </si>
  <si>
    <t xml:space="preserve"> 5.1、烟囱抽力计算</t>
    <phoneticPr fontId="3" type="noConversion"/>
  </si>
  <si>
    <t>烟囱高度</t>
    <phoneticPr fontId="3" type="noConversion"/>
  </si>
  <si>
    <t>H</t>
    <phoneticPr fontId="3" type="noConversion"/>
  </si>
  <si>
    <t>假定30、45、60、80、100、120、150、180</t>
    <phoneticPr fontId="3" type="noConversion"/>
  </si>
  <si>
    <t>平均值</t>
    <phoneticPr fontId="3" type="noConversion"/>
  </si>
  <si>
    <t>室外空气温度</t>
    <phoneticPr fontId="3" type="noConversion"/>
  </si>
  <si>
    <t>t1</t>
    <phoneticPr fontId="3" type="noConversion"/>
  </si>
  <si>
    <t>烟囱进口处烟温</t>
    <phoneticPr fontId="3" type="noConversion"/>
  </si>
  <si>
    <t>t0</t>
    <phoneticPr fontId="3" type="noConversion"/>
  </si>
  <si>
    <t>锅炉排烟温度</t>
    <phoneticPr fontId="3" type="noConversion"/>
  </si>
  <si>
    <t>烟囱每米高度的温度降</t>
    <phoneticPr fontId="3" type="noConversion"/>
  </si>
  <si>
    <t>t'</t>
    <phoneticPr fontId="3" type="noConversion"/>
  </si>
  <si>
    <t>砖砌温降0.1℃/m；钢板0.5℃/m</t>
    <phoneticPr fontId="3" type="noConversion"/>
  </si>
  <si>
    <t>烟囱内平均温度</t>
    <phoneticPr fontId="3" type="noConversion"/>
  </si>
  <si>
    <t>t2</t>
    <phoneticPr fontId="3" type="noConversion"/>
  </si>
  <si>
    <t>烟囱抽力</t>
    <phoneticPr fontId="3" type="noConversion"/>
  </si>
  <si>
    <t>S</t>
    <phoneticPr fontId="3" type="noConversion"/>
  </si>
  <si>
    <t>p</t>
    <phoneticPr fontId="3" type="noConversion"/>
  </si>
  <si>
    <t>烟气量</t>
    <phoneticPr fontId="3" type="noConversion"/>
  </si>
  <si>
    <t>Nm³/h</t>
    <phoneticPr fontId="3" type="noConversion"/>
  </si>
  <si>
    <t>烟囱出口温度</t>
    <phoneticPr fontId="3" type="noConversion"/>
  </si>
  <si>
    <t>烟囱出口流速</t>
    <phoneticPr fontId="3" type="noConversion"/>
  </si>
  <si>
    <t>Wo</t>
    <phoneticPr fontId="3" type="noConversion"/>
  </si>
  <si>
    <t>选取</t>
    <phoneticPr fontId="3" type="noConversion"/>
  </si>
  <si>
    <t>燃烧计算</t>
    <phoneticPr fontId="3" type="noConversion"/>
  </si>
  <si>
    <t>抽力计算</t>
    <phoneticPr fontId="3" type="noConversion"/>
  </si>
  <si>
    <t>烟囱出口内径</t>
    <phoneticPr fontId="3" type="noConversion"/>
  </si>
  <si>
    <t>选取烟囱出口内径</t>
    <phoneticPr fontId="3" type="noConversion"/>
  </si>
  <si>
    <t>d'</t>
    <phoneticPr fontId="3" type="noConversion"/>
  </si>
  <si>
    <t>mm</t>
    <phoneticPr fontId="3" type="noConversion"/>
  </si>
  <si>
    <t>经验烟囱基础内径</t>
    <phoneticPr fontId="3" type="noConversion"/>
  </si>
  <si>
    <t>d'’</t>
    <phoneticPr fontId="3" type="noConversion"/>
  </si>
  <si>
    <t>烟囱阻力系数</t>
    <phoneticPr fontId="3" type="noConversion"/>
  </si>
  <si>
    <r>
      <t>ρ</t>
    </r>
    <r>
      <rPr>
        <vertAlign val="subscript"/>
        <sz val="12"/>
        <rFont val="仿宋_GB2312"/>
        <family val="3"/>
        <charset val="134"/>
      </rPr>
      <t>0</t>
    </r>
    <phoneticPr fontId="3" type="noConversion"/>
  </si>
  <si>
    <r>
      <t>ρ</t>
    </r>
    <r>
      <rPr>
        <vertAlign val="subscript"/>
        <sz val="12"/>
        <rFont val="仿宋_GB2312"/>
        <family val="3"/>
        <charset val="134"/>
      </rPr>
      <t>1</t>
    </r>
    <phoneticPr fontId="3" type="noConversion"/>
  </si>
  <si>
    <t>r</t>
    <phoneticPr fontId="3" type="noConversion"/>
  </si>
  <si>
    <t>一般0.04</t>
    <phoneticPr fontId="3" type="noConversion"/>
  </si>
  <si>
    <t>烟囱内平均流速</t>
    <phoneticPr fontId="3" type="noConversion"/>
  </si>
  <si>
    <t>烟囱平均直径</t>
    <phoneticPr fontId="3" type="noConversion"/>
  </si>
  <si>
    <t>d'’</t>
    <phoneticPr fontId="3" type="noConversion"/>
  </si>
  <si>
    <t>烟囱摩擦阻力</t>
    <phoneticPr fontId="3" type="noConversion"/>
  </si>
  <si>
    <t>△p1</t>
    <phoneticPr fontId="3" type="noConversion"/>
  </si>
  <si>
    <t>pa</t>
    <phoneticPr fontId="3" type="noConversion"/>
  </si>
  <si>
    <t>烟囱出口阻力系数</t>
    <phoneticPr fontId="3" type="noConversion"/>
  </si>
  <si>
    <t>§</t>
    <phoneticPr fontId="3" type="noConversion"/>
  </si>
  <si>
    <t>一般取1</t>
    <phoneticPr fontId="3" type="noConversion"/>
  </si>
  <si>
    <t>△p2</t>
    <phoneticPr fontId="3" type="noConversion"/>
  </si>
  <si>
    <t>烟囱出口阻力</t>
    <phoneticPr fontId="3" type="noConversion"/>
  </si>
  <si>
    <t>烟囱总阻力</t>
    <phoneticPr fontId="3" type="noConversion"/>
  </si>
  <si>
    <t>△p</t>
    <phoneticPr fontId="3" type="noConversion"/>
  </si>
  <si>
    <t>根据温度和烟囱高度选取12-20，低负荷时2.5-3</t>
    <phoneticPr fontId="3" type="noConversion"/>
  </si>
  <si>
    <t>m³/h</t>
    <phoneticPr fontId="3" type="noConversion"/>
  </si>
  <si>
    <t>当地大气压</t>
    <phoneticPr fontId="3" type="noConversion"/>
  </si>
  <si>
    <r>
      <t>p</t>
    </r>
    <r>
      <rPr>
        <vertAlign val="subscript"/>
        <sz val="12"/>
        <rFont val="宋体"/>
        <family val="3"/>
        <charset val="134"/>
      </rPr>
      <t>a</t>
    </r>
    <phoneticPr fontId="3" type="noConversion"/>
  </si>
  <si>
    <t>p</t>
    <phoneticPr fontId="3" type="noConversion"/>
  </si>
  <si>
    <t>工况温度</t>
    <phoneticPr fontId="3" type="noConversion"/>
  </si>
  <si>
    <t>工况流量</t>
    <phoneticPr fontId="3" type="noConversion"/>
  </si>
  <si>
    <t>m³/h</t>
    <phoneticPr fontId="3" type="noConversion"/>
  </si>
  <si>
    <r>
      <t>q</t>
    </r>
    <r>
      <rPr>
        <vertAlign val="subscript"/>
        <sz val="12"/>
        <rFont val="宋体"/>
        <family val="3"/>
        <charset val="134"/>
      </rPr>
      <t>v</t>
    </r>
    <phoneticPr fontId="3" type="noConversion"/>
  </si>
  <si>
    <r>
      <t>p</t>
    </r>
    <r>
      <rPr>
        <vertAlign val="subscript"/>
        <sz val="12"/>
        <rFont val="宋体"/>
        <family val="3"/>
        <charset val="134"/>
      </rPr>
      <t>a</t>
    </r>
    <phoneticPr fontId="3" type="noConversion"/>
  </si>
  <si>
    <t>p</t>
    <phoneticPr fontId="3" type="noConversion"/>
  </si>
  <si>
    <t>标况温度</t>
    <phoneticPr fontId="3" type="noConversion"/>
  </si>
  <si>
    <r>
      <t>t</t>
    </r>
    <r>
      <rPr>
        <vertAlign val="subscript"/>
        <sz val="12"/>
        <rFont val="宋体"/>
        <family val="3"/>
        <charset val="134"/>
      </rPr>
      <t>0</t>
    </r>
    <phoneticPr fontId="3" type="noConversion"/>
  </si>
  <si>
    <t>标况压力</t>
    <phoneticPr fontId="3" type="noConversion"/>
  </si>
  <si>
    <r>
      <t>p</t>
    </r>
    <r>
      <rPr>
        <vertAlign val="subscript"/>
        <sz val="12"/>
        <rFont val="宋体"/>
        <family val="3"/>
        <charset val="134"/>
      </rPr>
      <t>0</t>
    </r>
    <phoneticPr fontId="3" type="noConversion"/>
  </si>
  <si>
    <t>标况流量</t>
    <phoneticPr fontId="3" type="noConversion"/>
  </si>
  <si>
    <t>Nm³/h</t>
    <phoneticPr fontId="3" type="noConversion"/>
  </si>
  <si>
    <r>
      <t>q</t>
    </r>
    <r>
      <rPr>
        <vertAlign val="subscript"/>
        <sz val="12"/>
        <rFont val="宋体"/>
        <family val="3"/>
        <charset val="134"/>
      </rPr>
      <t>v0</t>
    </r>
    <phoneticPr fontId="3" type="noConversion"/>
  </si>
  <si>
    <r>
      <t>q</t>
    </r>
    <r>
      <rPr>
        <vertAlign val="subscript"/>
        <sz val="12"/>
        <rFont val="宋体"/>
        <family val="3"/>
        <charset val="134"/>
      </rPr>
      <t>v0</t>
    </r>
    <r>
      <rPr>
        <sz val="12"/>
        <rFont val="宋体"/>
        <family val="3"/>
        <charset val="134"/>
      </rPr>
      <t>=</t>
    </r>
    <r>
      <rPr>
        <sz val="12"/>
        <rFont val="宋体"/>
        <family val="3"/>
        <charset val="134"/>
      </rPr>
      <t>q</t>
    </r>
    <r>
      <rPr>
        <vertAlign val="subscript"/>
        <sz val="12"/>
        <rFont val="宋体"/>
        <family val="3"/>
        <charset val="134"/>
      </rPr>
      <t>v</t>
    </r>
    <r>
      <rPr>
        <sz val="12"/>
        <rFont val="宋体"/>
        <family val="3"/>
        <charset val="134"/>
      </rPr>
      <t>*(p/p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)*((t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+273)</t>
    </r>
    <r>
      <rPr>
        <sz val="12"/>
        <rFont val="宋体"/>
        <family val="3"/>
        <charset val="134"/>
      </rPr>
      <t>/(t+273))</t>
    </r>
    <phoneticPr fontId="3" type="noConversion"/>
  </si>
  <si>
    <t>pa</t>
    <phoneticPr fontId="3" type="noConversion"/>
  </si>
  <si>
    <r>
      <t>q</t>
    </r>
    <r>
      <rPr>
        <vertAlign val="subscript"/>
        <sz val="12"/>
        <rFont val="宋体"/>
        <family val="3"/>
        <charset val="134"/>
      </rPr>
      <t>v</t>
    </r>
    <r>
      <rPr>
        <sz val="12"/>
        <rFont val="宋体"/>
        <family val="3"/>
        <charset val="134"/>
      </rPr>
      <t>=</t>
    </r>
    <r>
      <rPr>
        <sz val="12"/>
        <rFont val="宋体"/>
        <family val="3"/>
        <charset val="134"/>
      </rPr>
      <t>q</t>
    </r>
    <r>
      <rPr>
        <vertAlign val="subscript"/>
        <sz val="12"/>
        <rFont val="宋体"/>
        <family val="3"/>
        <charset val="134"/>
      </rPr>
      <t>v0</t>
    </r>
    <r>
      <rPr>
        <sz val="12"/>
        <rFont val="宋体"/>
        <family val="3"/>
        <charset val="134"/>
      </rPr>
      <t>*(p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/p)*((t</t>
    </r>
    <r>
      <rPr>
        <sz val="12"/>
        <rFont val="宋体"/>
        <family val="3"/>
        <charset val="134"/>
      </rPr>
      <t>+273)</t>
    </r>
    <r>
      <rPr>
        <sz val="12"/>
        <rFont val="宋体"/>
        <family val="3"/>
        <charset val="134"/>
      </rPr>
      <t>/(t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+273))</t>
    </r>
    <phoneticPr fontId="3" type="noConversion"/>
  </si>
  <si>
    <t>通常取0.98</t>
    <phoneticPr fontId="3" type="noConversion"/>
  </si>
  <si>
    <t>0.6~0.85</t>
    <phoneticPr fontId="3" type="noConversion"/>
  </si>
  <si>
    <t>m</t>
    <phoneticPr fontId="3" type="noConversion"/>
  </si>
  <si>
    <t>烟风温度</t>
    <phoneticPr fontId="3" type="noConversion"/>
  </si>
  <si>
    <t>全压</t>
    <phoneticPr fontId="3" type="noConversion"/>
  </si>
  <si>
    <t>设计值</t>
    <phoneticPr fontId="3" type="noConversion"/>
  </si>
  <si>
    <t>烟风流量（工况）</t>
    <phoneticPr fontId="3" type="noConversion"/>
  </si>
  <si>
    <t>风机温度</t>
    <phoneticPr fontId="3" type="noConversion"/>
  </si>
  <si>
    <r>
      <t>t</t>
    </r>
    <r>
      <rPr>
        <vertAlign val="subscript"/>
        <sz val="12"/>
        <rFont val="宋体"/>
        <family val="3"/>
        <charset val="134"/>
      </rPr>
      <t>1</t>
    </r>
    <phoneticPr fontId="3" type="noConversion"/>
  </si>
  <si>
    <t>风机全压</t>
    <phoneticPr fontId="3" type="noConversion"/>
  </si>
  <si>
    <r>
      <t>p</t>
    </r>
    <r>
      <rPr>
        <vertAlign val="subscript"/>
        <sz val="12"/>
        <rFont val="宋体"/>
        <family val="3"/>
        <charset val="134"/>
      </rPr>
      <t>1</t>
    </r>
    <phoneticPr fontId="3" type="noConversion"/>
  </si>
  <si>
    <t>风机选用全压</t>
    <phoneticPr fontId="3" type="noConversion"/>
  </si>
  <si>
    <t>1.10~1.15</t>
    <phoneticPr fontId="3" type="noConversion"/>
  </si>
  <si>
    <t>风机选用流量</t>
    <phoneticPr fontId="3" type="noConversion"/>
  </si>
  <si>
    <r>
      <t>q</t>
    </r>
    <r>
      <rPr>
        <vertAlign val="subscript"/>
        <sz val="12"/>
        <rFont val="宋体"/>
        <family val="3"/>
        <charset val="134"/>
      </rPr>
      <t>2</t>
    </r>
    <phoneticPr fontId="3" type="noConversion"/>
  </si>
  <si>
    <t>风机效率</t>
    <phoneticPr fontId="3" type="noConversion"/>
  </si>
  <si>
    <t>电机效率</t>
    <phoneticPr fontId="3" type="noConversion"/>
  </si>
  <si>
    <r>
      <t>η</t>
    </r>
    <r>
      <rPr>
        <vertAlign val="subscript"/>
        <sz val="12"/>
        <rFont val="宋体"/>
        <family val="3"/>
        <charset val="134"/>
      </rPr>
      <t>d</t>
    </r>
    <phoneticPr fontId="3" type="noConversion"/>
  </si>
  <si>
    <t>风机轴功率</t>
    <phoneticPr fontId="3" type="noConversion"/>
  </si>
  <si>
    <t>P'</t>
    <phoneticPr fontId="3" type="noConversion"/>
  </si>
  <si>
    <t>电机安全裕量</t>
    <phoneticPr fontId="3" type="noConversion"/>
  </si>
  <si>
    <t>电机功率</t>
    <phoneticPr fontId="3" type="noConversion"/>
  </si>
  <si>
    <r>
      <t>P=K*P'/η</t>
    </r>
    <r>
      <rPr>
        <vertAlign val="subscript"/>
        <sz val="12"/>
        <rFont val="宋体"/>
        <family val="3"/>
        <charset val="134"/>
      </rPr>
      <t>d</t>
    </r>
    <phoneticPr fontId="3" type="noConversion"/>
  </si>
  <si>
    <t>根据当地海拔按表选取</t>
    <phoneticPr fontId="3" type="noConversion"/>
  </si>
  <si>
    <t>q</t>
    <phoneticPr fontId="3" type="noConversion"/>
  </si>
  <si>
    <t>标---工况之间转换</t>
    <phoneticPr fontId="3" type="noConversion"/>
  </si>
  <si>
    <t>风机温度</t>
    <phoneticPr fontId="3" type="noConversion"/>
  </si>
  <si>
    <r>
      <t>t</t>
    </r>
    <r>
      <rPr>
        <vertAlign val="subscript"/>
        <sz val="12"/>
        <rFont val="宋体"/>
        <family val="3"/>
        <charset val="134"/>
      </rPr>
      <t>1</t>
    </r>
    <phoneticPr fontId="3" type="noConversion"/>
  </si>
  <si>
    <t>风机全压</t>
    <phoneticPr fontId="3" type="noConversion"/>
  </si>
  <si>
    <r>
      <t>p</t>
    </r>
    <r>
      <rPr>
        <vertAlign val="subscript"/>
        <sz val="12"/>
        <rFont val="宋体"/>
        <family val="3"/>
        <charset val="134"/>
      </rPr>
      <t>a’</t>
    </r>
    <phoneticPr fontId="3" type="noConversion"/>
  </si>
  <si>
    <r>
      <t>p</t>
    </r>
    <r>
      <rPr>
        <vertAlign val="subscript"/>
        <sz val="12"/>
        <rFont val="宋体"/>
        <family val="3"/>
        <charset val="134"/>
      </rPr>
      <t>1</t>
    </r>
    <phoneticPr fontId="3" type="noConversion"/>
  </si>
  <si>
    <r>
      <t>p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=</t>
    </r>
    <r>
      <rPr>
        <sz val="12"/>
        <rFont val="宋体"/>
        <family val="3"/>
        <charset val="134"/>
      </rPr>
      <t>p*(101325/p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)</t>
    </r>
    <r>
      <rPr>
        <sz val="12"/>
        <rFont val="宋体"/>
        <family val="3"/>
        <charset val="134"/>
      </rPr>
      <t>*((t+273)/(t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+273))</t>
    </r>
    <phoneticPr fontId="3" type="noConversion"/>
  </si>
  <si>
    <t>选用系数：1.10~1.15</t>
    <phoneticPr fontId="3" type="noConversion"/>
  </si>
  <si>
    <r>
      <t>q</t>
    </r>
    <r>
      <rPr>
        <vertAlign val="subscript"/>
        <sz val="12"/>
        <rFont val="宋体"/>
        <family val="3"/>
        <charset val="134"/>
      </rPr>
      <t>2</t>
    </r>
    <phoneticPr fontId="3" type="noConversion"/>
  </si>
  <si>
    <t>全压头时效率，一般风机0.6，高效风机为0.9</t>
    <phoneticPr fontId="3" type="noConversion"/>
  </si>
  <si>
    <t>直联时1.0，联轴器连接时0.95~0.98，三角皮带传动0.9~0.95，平皮带传动时0.8</t>
    <phoneticPr fontId="3" type="noConversion"/>
  </si>
  <si>
    <r>
      <t>η</t>
    </r>
    <r>
      <rPr>
        <vertAlign val="subscript"/>
        <sz val="12"/>
        <rFont val="宋体"/>
        <family val="3"/>
        <charset val="134"/>
      </rPr>
      <t>d</t>
    </r>
    <phoneticPr fontId="3" type="noConversion"/>
  </si>
  <si>
    <t>电动机效率0.9</t>
    <phoneticPr fontId="3" type="noConversion"/>
  </si>
  <si>
    <t>kw</t>
    <phoneticPr fontId="3" type="noConversion"/>
  </si>
  <si>
    <t>P'</t>
    <phoneticPr fontId="3" type="noConversion"/>
  </si>
  <si>
    <r>
      <t>P'=p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*q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/η</t>
    </r>
    <phoneticPr fontId="3" type="noConversion"/>
  </si>
  <si>
    <t>K</t>
    <phoneticPr fontId="3" type="noConversion"/>
  </si>
  <si>
    <t>P</t>
    <phoneticPr fontId="3" type="noConversion"/>
  </si>
  <si>
    <r>
      <t>P=K*P'/η</t>
    </r>
    <r>
      <rPr>
        <vertAlign val="subscript"/>
        <sz val="12"/>
        <rFont val="宋体"/>
        <family val="3"/>
        <charset val="134"/>
      </rPr>
      <t>d</t>
    </r>
    <phoneticPr fontId="3" type="noConversion"/>
  </si>
  <si>
    <t>选用规格</t>
    <phoneticPr fontId="3" type="noConversion"/>
  </si>
  <si>
    <t>输入</t>
    <phoneticPr fontId="3" type="noConversion"/>
  </si>
  <si>
    <t>Mpa</t>
    <phoneticPr fontId="3" type="noConversion"/>
  </si>
  <si>
    <t>已知</t>
    <phoneticPr fontId="3" type="noConversion"/>
  </si>
  <si>
    <t>Mpa</t>
    <phoneticPr fontId="3" type="noConversion"/>
  </si>
  <si>
    <t>t/h</t>
    <phoneticPr fontId="3" type="noConversion"/>
  </si>
  <si>
    <t>%</t>
    <phoneticPr fontId="3" type="noConversion"/>
  </si>
  <si>
    <t>单位</t>
    <phoneticPr fontId="3" type="noConversion"/>
  </si>
  <si>
    <t>符号</t>
    <phoneticPr fontId="3" type="noConversion"/>
  </si>
  <si>
    <t>kw</t>
    <phoneticPr fontId="3" type="noConversion"/>
  </si>
  <si>
    <t>℃</t>
    <phoneticPr fontId="3" type="noConversion"/>
  </si>
  <si>
    <t>名称</t>
    <phoneticPr fontId="3" type="noConversion"/>
  </si>
  <si>
    <t>公式及计算</t>
    <phoneticPr fontId="3" type="noConversion"/>
  </si>
  <si>
    <t>序号</t>
    <phoneticPr fontId="3" type="noConversion"/>
  </si>
  <si>
    <t>〔2〕</t>
  </si>
  <si>
    <t>〔3〕</t>
  </si>
  <si>
    <t>〔4〕</t>
  </si>
  <si>
    <t>〔5〕</t>
  </si>
  <si>
    <t>〔6〕</t>
  </si>
  <si>
    <t>〔7〕</t>
  </si>
  <si>
    <t>〔8〕</t>
  </si>
  <si>
    <t>〔9〕</t>
  </si>
  <si>
    <t>〔10〕</t>
  </si>
  <si>
    <t>〔11〕</t>
  </si>
  <si>
    <t>〔12〕</t>
  </si>
  <si>
    <t>〔13〕</t>
  </si>
  <si>
    <t>〔14〕</t>
  </si>
  <si>
    <t>〔15〕</t>
  </si>
  <si>
    <t>〔16〕</t>
  </si>
  <si>
    <t>P</t>
    <phoneticPr fontId="3" type="noConversion"/>
  </si>
  <si>
    <t>〔17〕</t>
  </si>
  <si>
    <t>〔21〕</t>
  </si>
  <si>
    <t>〔22〕</t>
  </si>
  <si>
    <t>〔23〕</t>
  </si>
  <si>
    <t>〔24〕</t>
  </si>
  <si>
    <t>〔25〕</t>
  </si>
  <si>
    <t>〔26〕</t>
  </si>
  <si>
    <t>〔27〕</t>
  </si>
  <si>
    <t>η</t>
    <phoneticPr fontId="3" type="noConversion"/>
  </si>
  <si>
    <t>t</t>
    <phoneticPr fontId="3" type="noConversion"/>
  </si>
  <si>
    <t>〔1〕</t>
  </si>
  <si>
    <t>〔18〕</t>
  </si>
  <si>
    <t>〔19〕</t>
  </si>
  <si>
    <t>〔20〕</t>
  </si>
  <si>
    <t>计算公式</t>
    <phoneticPr fontId="3" type="noConversion"/>
  </si>
  <si>
    <t>结果</t>
    <phoneticPr fontId="3" type="noConversion"/>
  </si>
  <si>
    <t>m</t>
    <phoneticPr fontId="3" type="noConversion"/>
  </si>
  <si>
    <t>q</t>
    <phoneticPr fontId="3" type="noConversion"/>
  </si>
  <si>
    <t>循环倍率</t>
    <phoneticPr fontId="3" type="noConversion"/>
  </si>
  <si>
    <t>循环水量</t>
    <phoneticPr fontId="3" type="noConversion"/>
  </si>
  <si>
    <t>辅机冷却水量</t>
    <phoneticPr fontId="3" type="noConversion"/>
  </si>
  <si>
    <t>总循环水量</t>
    <phoneticPr fontId="3" type="noConversion"/>
  </si>
  <si>
    <t>m3/h</t>
    <phoneticPr fontId="3" type="noConversion"/>
  </si>
  <si>
    <t>℃</t>
    <phoneticPr fontId="3" type="noConversion"/>
  </si>
  <si>
    <t>补充水量</t>
    <phoneticPr fontId="3" type="noConversion"/>
  </si>
  <si>
    <t>m3</t>
  </si>
  <si>
    <t>15-25分钟循环水量</t>
    <phoneticPr fontId="3" type="noConversion"/>
  </si>
  <si>
    <t>选定</t>
    <phoneticPr fontId="3" type="noConversion"/>
  </si>
  <si>
    <t>进、出水口温差</t>
    <phoneticPr fontId="3" type="noConversion"/>
  </si>
  <si>
    <t>干球温度</t>
    <phoneticPr fontId="3" type="noConversion"/>
  </si>
  <si>
    <t>K</t>
    <phoneticPr fontId="3" type="noConversion"/>
  </si>
  <si>
    <t>插值法</t>
    <phoneticPr fontId="3" type="noConversion"/>
  </si>
  <si>
    <t>蒸发损失率</t>
    <phoneticPr fontId="3" type="noConversion"/>
  </si>
  <si>
    <t>天然气煤气</t>
    <phoneticPr fontId="3" type="noConversion"/>
  </si>
  <si>
    <t>QL</t>
    <phoneticPr fontId="3" type="noConversion"/>
  </si>
  <si>
    <t>m³/m³</t>
    <phoneticPr fontId="3" type="noConversion"/>
  </si>
  <si>
    <t>L0</t>
    <phoneticPr fontId="3" type="noConversion"/>
  </si>
  <si>
    <t>低位发热量</t>
    <phoneticPr fontId="3" type="noConversion"/>
  </si>
  <si>
    <t>理论空气量</t>
    <phoneticPr fontId="3" type="noConversion"/>
  </si>
  <si>
    <t>KJ/Nm³</t>
    <phoneticPr fontId="3" type="noConversion"/>
  </si>
  <si>
    <t>QL＞35799</t>
    <phoneticPr fontId="3" type="noConversion"/>
  </si>
  <si>
    <t>QL＜35799</t>
    <phoneticPr fontId="3" type="noConversion"/>
  </si>
  <si>
    <t>实际烟气量</t>
    <phoneticPr fontId="3" type="noConversion"/>
  </si>
  <si>
    <t>Vm</t>
    <phoneticPr fontId="3" type="noConversion"/>
  </si>
  <si>
    <t>过量空气系数</t>
    <phoneticPr fontId="3" type="noConversion"/>
  </si>
  <si>
    <t>α</t>
    <phoneticPr fontId="3" type="noConversion"/>
  </si>
  <si>
    <t>1.05~1.1</t>
    <phoneticPr fontId="3" type="noConversion"/>
  </si>
  <si>
    <t>QL＞12561</t>
    <phoneticPr fontId="3" type="noConversion"/>
  </si>
  <si>
    <t>QL＜12561</t>
    <phoneticPr fontId="3" type="noConversion"/>
  </si>
  <si>
    <t>理论空气量</t>
    <phoneticPr fontId="3" type="noConversion"/>
  </si>
  <si>
    <t>实际烟气量</t>
    <phoneticPr fontId="3" type="noConversion"/>
  </si>
  <si>
    <t>1.1~1.2</t>
    <phoneticPr fontId="3" type="noConversion"/>
  </si>
  <si>
    <t>1.15~1.25</t>
    <phoneticPr fontId="3" type="noConversion"/>
  </si>
  <si>
    <t>焦炉、高炉混合煤气</t>
    <phoneticPr fontId="3" type="noConversion"/>
  </si>
  <si>
    <t>各种液体燃料</t>
    <phoneticPr fontId="3" type="noConversion"/>
  </si>
  <si>
    <t>各种煤</t>
    <phoneticPr fontId="3" type="noConversion"/>
  </si>
  <si>
    <t>木材和泥煤</t>
    <phoneticPr fontId="3" type="noConversion"/>
  </si>
  <si>
    <t>含水量</t>
    <phoneticPr fontId="3" type="noConversion"/>
  </si>
  <si>
    <t>Wop</t>
    <phoneticPr fontId="3" type="noConversion"/>
  </si>
  <si>
    <t>最佳含水量</t>
    <phoneticPr fontId="3" type="noConversion"/>
  </si>
  <si>
    <t>经验公式计算方法</t>
    <phoneticPr fontId="3" type="noConversion"/>
  </si>
  <si>
    <t>蒸发损失</t>
    <phoneticPr fontId="3" type="noConversion"/>
  </si>
  <si>
    <t>Pe=K*温差</t>
    <phoneticPr fontId="3" type="noConversion"/>
  </si>
  <si>
    <t>Qe=Pe*Q/100</t>
    <phoneticPr fontId="3" type="noConversion"/>
  </si>
  <si>
    <t>风吹损失率</t>
    <phoneticPr fontId="3" type="noConversion"/>
  </si>
  <si>
    <t>浓缩倍率</t>
    <phoneticPr fontId="3" type="noConversion"/>
  </si>
  <si>
    <t>排污损失率</t>
    <phoneticPr fontId="3" type="noConversion"/>
  </si>
  <si>
    <t>Pb=（Pe-Pw（c-1））/（c-1）</t>
    <phoneticPr fontId="3" type="noConversion"/>
  </si>
  <si>
    <t>C：一般取3</t>
    <phoneticPr fontId="3" type="noConversion"/>
  </si>
  <si>
    <t>Pw：有除水器时为0.2%-0.3%；无除水器时≥0.5%</t>
    <phoneticPr fontId="3" type="noConversion"/>
  </si>
  <si>
    <t>排污量</t>
    <phoneticPr fontId="3" type="noConversion"/>
  </si>
  <si>
    <t>深</t>
    <phoneticPr fontId="3" type="noConversion"/>
  </si>
  <si>
    <t>长</t>
    <phoneticPr fontId="3" type="noConversion"/>
  </si>
  <si>
    <t>宽</t>
    <phoneticPr fontId="3" type="noConversion"/>
  </si>
  <si>
    <t>校核循环水池尺寸</t>
    <phoneticPr fontId="3" type="noConversion"/>
  </si>
  <si>
    <t>循环水池尺寸</t>
    <phoneticPr fontId="3" type="noConversion"/>
  </si>
  <si>
    <t>〔1〕</t>
    <phoneticPr fontId="3" type="noConversion"/>
  </si>
  <si>
    <t>凝汽器循环水进水工作压力</t>
    <phoneticPr fontId="3" type="noConversion"/>
  </si>
  <si>
    <t>凝汽器阻力</t>
    <phoneticPr fontId="3" type="noConversion"/>
  </si>
  <si>
    <t>厂家提供</t>
    <phoneticPr fontId="3" type="noConversion"/>
  </si>
  <si>
    <t>循环水回水压力</t>
    <phoneticPr fontId="3" type="noConversion"/>
  </si>
  <si>
    <t>循环水吸水池压力</t>
    <phoneticPr fontId="3" type="noConversion"/>
  </si>
  <si>
    <t>M</t>
    <phoneticPr fontId="3" type="noConversion"/>
  </si>
  <si>
    <t>循环水泵出口与凝汽器循环水进水口高度差</t>
    <phoneticPr fontId="3" type="noConversion"/>
  </si>
  <si>
    <t>吸水池与水泵入口高度差</t>
    <phoneticPr fontId="3" type="noConversion"/>
  </si>
  <si>
    <t>管道损失</t>
    <phoneticPr fontId="3" type="noConversion"/>
  </si>
  <si>
    <r>
      <t>暂定采用5mH</t>
    </r>
    <r>
      <rPr>
        <vertAlign val="subscript"/>
        <sz val="12"/>
        <rFont val="仿宋_GB2312"/>
        <family val="3"/>
        <charset val="134"/>
      </rPr>
      <t>2</t>
    </r>
    <r>
      <rPr>
        <sz val="12"/>
        <rFont val="仿宋_GB2312"/>
        <family val="3"/>
        <charset val="134"/>
      </rPr>
      <t>O</t>
    </r>
    <phoneticPr fontId="3" type="noConversion"/>
  </si>
  <si>
    <t>m</t>
    <phoneticPr fontId="3" type="noConversion"/>
  </si>
  <si>
    <t>Y型过滤器损失</t>
    <phoneticPr fontId="3" type="noConversion"/>
  </si>
  <si>
    <t>H</t>
    <phoneticPr fontId="3" type="noConversion"/>
  </si>
  <si>
    <t>总扬程</t>
    <phoneticPr fontId="3" type="noConversion"/>
  </si>
  <si>
    <t>102*（P1-P2）+(H1-H2)+1.2*(H3+H4)</t>
    <phoneticPr fontId="3" type="noConversion"/>
  </si>
  <si>
    <t>流量</t>
    <phoneticPr fontId="3" type="noConversion"/>
  </si>
  <si>
    <t>2、循环水泵计算</t>
    <phoneticPr fontId="3" type="noConversion"/>
  </si>
  <si>
    <t>选用型号</t>
    <phoneticPr fontId="3" type="noConversion"/>
  </si>
  <si>
    <t>Q</t>
    <phoneticPr fontId="3" type="noConversion"/>
  </si>
  <si>
    <t>流量</t>
    <phoneticPr fontId="3" type="noConversion"/>
  </si>
  <si>
    <t>t/h</t>
    <phoneticPr fontId="3" type="noConversion"/>
  </si>
  <si>
    <t>η</t>
    <phoneticPr fontId="3" type="noConversion"/>
  </si>
  <si>
    <t>/</t>
    <phoneticPr fontId="3" type="noConversion"/>
  </si>
  <si>
    <t>泵效率</t>
    <phoneticPr fontId="3" type="noConversion"/>
  </si>
  <si>
    <t>0.6~0.8</t>
    <phoneticPr fontId="3" type="noConversion"/>
  </si>
  <si>
    <t>η2</t>
    <phoneticPr fontId="3" type="noConversion"/>
  </si>
  <si>
    <t>机械传动效率</t>
    <phoneticPr fontId="3" type="noConversion"/>
  </si>
  <si>
    <t>直连1.0，联轴器0.98，皮带0.95</t>
    <phoneticPr fontId="3" type="noConversion"/>
  </si>
  <si>
    <t>η3</t>
    <phoneticPr fontId="3" type="noConversion"/>
  </si>
  <si>
    <t>电动机效率</t>
    <phoneticPr fontId="3" type="noConversion"/>
  </si>
  <si>
    <t>通常取0.9</t>
    <phoneticPr fontId="3" type="noConversion"/>
  </si>
  <si>
    <t>β</t>
    <phoneticPr fontId="3" type="noConversion"/>
  </si>
  <si>
    <t>电动机备用系数</t>
    <phoneticPr fontId="3" type="noConversion"/>
  </si>
  <si>
    <t>查表选取</t>
    <phoneticPr fontId="3" type="noConversion"/>
  </si>
  <si>
    <t>P</t>
    <phoneticPr fontId="3" type="noConversion"/>
  </si>
  <si>
    <t>kw</t>
    <phoneticPr fontId="3" type="noConversion"/>
  </si>
  <si>
    <t>配套电机功率</t>
    <phoneticPr fontId="3" type="noConversion"/>
  </si>
  <si>
    <r>
      <t>ρβgHq</t>
    </r>
    <r>
      <rPr>
        <vertAlign val="subscript"/>
        <sz val="10"/>
        <rFont val="宋体"/>
        <family val="3"/>
        <charset val="134"/>
      </rPr>
      <t>v</t>
    </r>
    <r>
      <rPr>
        <sz val="10"/>
        <rFont val="宋体"/>
        <family val="3"/>
        <charset val="134"/>
      </rPr>
      <t>/(3600*1000*η*η</t>
    </r>
    <r>
      <rPr>
        <vertAlign val="sub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*η</t>
    </r>
    <r>
      <rPr>
        <vertAlign val="sub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)</t>
    </r>
    <phoneticPr fontId="3" type="noConversion"/>
  </si>
  <si>
    <t>两用一备</t>
    <phoneticPr fontId="3" type="noConversion"/>
  </si>
  <si>
    <t>功率</t>
    <phoneticPr fontId="3" type="noConversion"/>
  </si>
  <si>
    <t>扬程</t>
    <phoneticPr fontId="3" type="noConversion"/>
  </si>
  <si>
    <t>名称</t>
    <phoneticPr fontId="3" type="noConversion"/>
  </si>
  <si>
    <t>单位</t>
    <phoneticPr fontId="3" type="noConversion"/>
  </si>
  <si>
    <t>符号</t>
    <phoneticPr fontId="3" type="noConversion"/>
  </si>
  <si>
    <t>计算公式</t>
    <phoneticPr fontId="3" type="noConversion"/>
  </si>
  <si>
    <t>设计值</t>
  </si>
  <si>
    <t>结果</t>
    <phoneticPr fontId="3" type="noConversion"/>
  </si>
  <si>
    <t>t</t>
    <phoneticPr fontId="3" type="noConversion"/>
  </si>
  <si>
    <t>η</t>
    <phoneticPr fontId="3" type="noConversion"/>
  </si>
  <si>
    <r>
      <t>p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=</t>
    </r>
    <r>
      <rPr>
        <sz val="12"/>
        <rFont val="宋体"/>
        <family val="3"/>
        <charset val="134"/>
      </rPr>
      <t>p*(101325/p</t>
    </r>
    <r>
      <rPr>
        <vertAlign val="subscript"/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)</t>
    </r>
    <r>
      <rPr>
        <sz val="12"/>
        <rFont val="宋体"/>
        <family val="3"/>
        <charset val="134"/>
      </rPr>
      <t>*((t+273)/(t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+273))</t>
    </r>
    <phoneticPr fontId="3" type="noConversion"/>
  </si>
  <si>
    <r>
      <t>p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/>
    </r>
  </si>
  <si>
    <r>
      <t>P'=p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*q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/η</t>
    </r>
    <phoneticPr fontId="3" type="noConversion"/>
  </si>
  <si>
    <t>当地大气压</t>
    <phoneticPr fontId="3" type="noConversion"/>
  </si>
  <si>
    <t>烟道总阻力</t>
    <phoneticPr fontId="3" type="noConversion"/>
  </si>
  <si>
    <r>
      <t>ρ</t>
    </r>
    <r>
      <rPr>
        <vertAlign val="subscript"/>
        <sz val="12"/>
        <rFont val="仿宋_GB2312"/>
        <family val="3"/>
        <charset val="134"/>
      </rPr>
      <t>0</t>
    </r>
    <phoneticPr fontId="3" type="noConversion"/>
  </si>
  <si>
    <r>
      <t>kg/m</t>
    </r>
    <r>
      <rPr>
        <vertAlign val="superscript"/>
        <sz val="12"/>
        <rFont val="仿宋_GB2312"/>
        <family val="3"/>
        <charset val="134"/>
      </rPr>
      <t>3</t>
    </r>
    <phoneticPr fontId="3" type="noConversion"/>
  </si>
  <si>
    <t>烟气密度</t>
    <phoneticPr fontId="3" type="noConversion"/>
  </si>
  <si>
    <t>取一般烟气平均密度</t>
    <phoneticPr fontId="3" type="noConversion"/>
  </si>
  <si>
    <t>η1</t>
    <phoneticPr fontId="3" type="noConversion"/>
  </si>
  <si>
    <t>电动机效率</t>
    <phoneticPr fontId="3" type="noConversion"/>
  </si>
  <si>
    <t>CH4</t>
  </si>
  <si>
    <t>C4H10</t>
  </si>
  <si>
    <t>N2</t>
  </si>
  <si>
    <t>O2</t>
  </si>
  <si>
    <t>CO2</t>
  </si>
  <si>
    <t>H2S</t>
  </si>
  <si>
    <t>标态下每m³干燃气燃烧所需理论空气量</t>
  </si>
  <si>
    <t>m³/m³</t>
  </si>
  <si>
    <t>Qd.net&lt;10500时</t>
  </si>
  <si>
    <t>XXXX</t>
    <phoneticPr fontId="3" type="noConversion"/>
  </si>
  <si>
    <t>需要特别注意的地方</t>
    <phoneticPr fontId="3" type="noConversion"/>
  </si>
  <si>
    <t>一、已知成分的烟气量计算</t>
    <phoneticPr fontId="3" type="noConversion"/>
  </si>
  <si>
    <t>用户输入量</t>
    <phoneticPr fontId="3" type="noConversion"/>
  </si>
  <si>
    <t>用户输出量</t>
    <phoneticPr fontId="3" type="noConversion"/>
  </si>
  <si>
    <t>1、气体燃料的组分</t>
    <phoneticPr fontId="3" type="noConversion"/>
  </si>
  <si>
    <t>C3H6</t>
    <phoneticPr fontId="3" type="noConversion"/>
  </si>
  <si>
    <t>组分</t>
    <phoneticPr fontId="3" type="noConversion"/>
  </si>
  <si>
    <t>H2</t>
    <phoneticPr fontId="3" type="noConversion"/>
  </si>
  <si>
    <t>CO</t>
    <phoneticPr fontId="3" type="noConversion"/>
  </si>
  <si>
    <t>C2H4</t>
    <phoneticPr fontId="3" type="noConversion"/>
  </si>
  <si>
    <t>C3H8</t>
    <phoneticPr fontId="3" type="noConversion"/>
  </si>
  <si>
    <t>CmHn</t>
    <phoneticPr fontId="3" type="noConversion"/>
  </si>
  <si>
    <t>合计</t>
    <phoneticPr fontId="3" type="noConversion"/>
  </si>
  <si>
    <t>含量</t>
    <phoneticPr fontId="3" type="noConversion"/>
  </si>
  <si>
    <r>
      <t>H</t>
    </r>
    <r>
      <rPr>
        <sz val="6"/>
        <rFont val="宋体"/>
        <family val="3"/>
        <charset val="134"/>
      </rPr>
      <t>l</t>
    </r>
    <phoneticPr fontId="3" type="noConversion"/>
  </si>
  <si>
    <t>查表所得</t>
    <phoneticPr fontId="3" type="noConversion"/>
  </si>
  <si>
    <r>
      <t>H</t>
    </r>
    <r>
      <rPr>
        <sz val="6"/>
        <rFont val="宋体"/>
        <family val="3"/>
        <charset val="134"/>
      </rPr>
      <t>h</t>
    </r>
    <phoneticPr fontId="3" type="noConversion"/>
  </si>
  <si>
    <t>定压比热容</t>
    <phoneticPr fontId="3" type="noConversion"/>
  </si>
  <si>
    <t>备注</t>
    <phoneticPr fontId="3" type="noConversion"/>
  </si>
  <si>
    <t>2、烟气量的计算</t>
    <phoneticPr fontId="3" type="noConversion"/>
  </si>
  <si>
    <t>项目</t>
    <phoneticPr fontId="3" type="noConversion"/>
  </si>
  <si>
    <t>符号</t>
    <phoneticPr fontId="3" type="noConversion"/>
  </si>
  <si>
    <t>单位</t>
    <phoneticPr fontId="3" type="noConversion"/>
  </si>
  <si>
    <t>数值</t>
    <phoneticPr fontId="3" type="noConversion"/>
  </si>
  <si>
    <t>V0</t>
    <phoneticPr fontId="3" type="noConversion"/>
  </si>
  <si>
    <t>标态下空气密度</t>
    <phoneticPr fontId="3" type="noConversion"/>
  </si>
  <si>
    <t>ρ0</t>
    <phoneticPr fontId="3" type="noConversion"/>
  </si>
  <si>
    <t>kg/m³</t>
    <phoneticPr fontId="3" type="noConversion"/>
  </si>
  <si>
    <t>标态下每m³干燃气燃烧所需理论空气质量</t>
    <phoneticPr fontId="3" type="noConversion"/>
  </si>
  <si>
    <t>L0</t>
    <phoneticPr fontId="3" type="noConversion"/>
  </si>
  <si>
    <t>过量空气系数</t>
    <phoneticPr fontId="3" type="noConversion"/>
  </si>
  <si>
    <t>α</t>
    <phoneticPr fontId="3" type="noConversion"/>
  </si>
  <si>
    <t>实际所需空气量</t>
    <phoneticPr fontId="3" type="noConversion"/>
  </si>
  <si>
    <t>V</t>
    <phoneticPr fontId="3" type="noConversion"/>
  </si>
  <si>
    <t>标态下每m³燃气的含湿量</t>
    <phoneticPr fontId="3" type="noConversion"/>
  </si>
  <si>
    <r>
      <t>d</t>
    </r>
    <r>
      <rPr>
        <sz val="8"/>
        <rFont val="宋体"/>
        <family val="3"/>
        <charset val="134"/>
      </rPr>
      <t>R</t>
    </r>
    <phoneticPr fontId="3" type="noConversion"/>
  </si>
  <si>
    <t>g/m³</t>
    <phoneticPr fontId="3" type="noConversion"/>
  </si>
  <si>
    <t>标态下每m³空气的含湿量</t>
    <phoneticPr fontId="3" type="noConversion"/>
  </si>
  <si>
    <r>
      <t>d</t>
    </r>
    <r>
      <rPr>
        <sz val="8"/>
        <rFont val="宋体"/>
        <family val="3"/>
        <charset val="134"/>
      </rPr>
      <t>K</t>
    </r>
    <phoneticPr fontId="3" type="noConversion"/>
  </si>
  <si>
    <t>空气中有水时，实际空气量</t>
    <phoneticPr fontId="3" type="noConversion"/>
  </si>
  <si>
    <t>标态下每m³燃气燃烧理论烟气量中RO2</t>
    <phoneticPr fontId="3" type="noConversion"/>
  </si>
  <si>
    <r>
      <t>V</t>
    </r>
    <r>
      <rPr>
        <sz val="8"/>
        <rFont val="宋体"/>
        <family val="3"/>
        <charset val="134"/>
      </rPr>
      <t>RO2</t>
    </r>
    <phoneticPr fontId="3" type="noConversion"/>
  </si>
  <si>
    <t>标态下每m³燃气燃烧理论烟气量中N2</t>
    <phoneticPr fontId="3" type="noConversion"/>
  </si>
  <si>
    <r>
      <t>V</t>
    </r>
    <r>
      <rPr>
        <sz val="8"/>
        <rFont val="宋体"/>
        <family val="3"/>
        <charset val="134"/>
      </rPr>
      <t>N2</t>
    </r>
    <phoneticPr fontId="3" type="noConversion"/>
  </si>
  <si>
    <t>标态下每m³燃气燃烧理论烟气量中N2实际</t>
    <phoneticPr fontId="3" type="noConversion"/>
  </si>
  <si>
    <t>标态下每m³燃气燃烧理论烟气量中H2o</t>
    <phoneticPr fontId="3" type="noConversion"/>
  </si>
  <si>
    <r>
      <t>V</t>
    </r>
    <r>
      <rPr>
        <sz val="8"/>
        <rFont val="宋体"/>
        <family val="3"/>
        <charset val="134"/>
      </rPr>
      <t>H2O</t>
    </r>
    <phoneticPr fontId="3" type="noConversion"/>
  </si>
  <si>
    <t>标态下每m³燃气燃烧理论烟气量中H2o实际</t>
    <phoneticPr fontId="3" type="noConversion"/>
  </si>
  <si>
    <t>标态下每m³燃气燃烧理论烟气量中O2</t>
    <phoneticPr fontId="3" type="noConversion"/>
  </si>
  <si>
    <r>
      <t>V</t>
    </r>
    <r>
      <rPr>
        <sz val="9"/>
        <rFont val="宋体"/>
        <family val="3"/>
        <charset val="134"/>
      </rPr>
      <t>O2</t>
    </r>
    <phoneticPr fontId="3" type="noConversion"/>
  </si>
  <si>
    <t>实际燃烧烟气量</t>
    <phoneticPr fontId="3" type="noConversion"/>
  </si>
  <si>
    <t>Vy</t>
    <phoneticPr fontId="3" type="noConversion"/>
  </si>
  <si>
    <t>理论燃烧烟气量</t>
    <phoneticPr fontId="3" type="noConversion"/>
  </si>
  <si>
    <t>地位发热量</t>
    <phoneticPr fontId="3" type="noConversion"/>
  </si>
  <si>
    <r>
      <t>H</t>
    </r>
    <r>
      <rPr>
        <sz val="8"/>
        <rFont val="宋体"/>
        <family val="3"/>
        <charset val="134"/>
      </rPr>
      <t>l</t>
    </r>
    <phoneticPr fontId="3" type="noConversion"/>
  </si>
  <si>
    <t>KJ/m³</t>
    <phoneticPr fontId="3" type="noConversion"/>
  </si>
  <si>
    <t>高位发热量</t>
    <phoneticPr fontId="3" type="noConversion"/>
  </si>
  <si>
    <r>
      <t>H</t>
    </r>
    <r>
      <rPr>
        <sz val="9"/>
        <rFont val="宋体"/>
        <family val="3"/>
        <charset val="134"/>
      </rPr>
      <t>h</t>
    </r>
    <phoneticPr fontId="3" type="noConversion"/>
  </si>
  <si>
    <t>燃气初始温度</t>
    <phoneticPr fontId="3" type="noConversion"/>
  </si>
  <si>
    <t>tg</t>
    <phoneticPr fontId="3" type="noConversion"/>
  </si>
  <si>
    <t>℃</t>
    <phoneticPr fontId="3" type="noConversion"/>
  </si>
  <si>
    <t>空气初始温度</t>
    <phoneticPr fontId="3" type="noConversion"/>
  </si>
  <si>
    <t>ta</t>
    <phoneticPr fontId="3" type="noConversion"/>
  </si>
  <si>
    <t>燃气平均定压体积热容</t>
    <phoneticPr fontId="3" type="noConversion"/>
  </si>
  <si>
    <t>Cg</t>
    <phoneticPr fontId="3" type="noConversion"/>
  </si>
  <si>
    <t>KJ/m³.K</t>
    <phoneticPr fontId="3" type="noConversion"/>
  </si>
  <si>
    <t>注意读取每个理想气体的定压体积比热容</t>
    <phoneticPr fontId="3" type="noConversion"/>
  </si>
  <si>
    <t>燃气中H2O平均定压体积热容</t>
    <phoneticPr fontId="3" type="noConversion"/>
  </si>
  <si>
    <t>C</t>
    <phoneticPr fontId="3" type="noConversion"/>
  </si>
  <si>
    <t>空气平均定压体积热容</t>
    <phoneticPr fontId="3" type="noConversion"/>
  </si>
  <si>
    <t>Ca</t>
    <phoneticPr fontId="3" type="noConversion"/>
  </si>
  <si>
    <t>空气中H2O平均定压体积热容</t>
    <phoneticPr fontId="3" type="noConversion"/>
  </si>
  <si>
    <t>假设---绝热状态的热量计温度</t>
    <phoneticPr fontId="3" type="noConversion"/>
  </si>
  <si>
    <t>tc</t>
    <phoneticPr fontId="3" type="noConversion"/>
  </si>
  <si>
    <t>烟气中RO2平均定压体积热容</t>
    <phoneticPr fontId="3" type="noConversion"/>
  </si>
  <si>
    <t>烟气中H2O平均定压体积热容</t>
    <phoneticPr fontId="3" type="noConversion"/>
  </si>
  <si>
    <t>烟气中N2平均定压体积热容</t>
    <phoneticPr fontId="3" type="noConversion"/>
  </si>
  <si>
    <t>烟气中O2平均定压体积热容</t>
    <phoneticPr fontId="3" type="noConversion"/>
  </si>
  <si>
    <t>计算---绝热状态的热量计温度</t>
    <phoneticPr fontId="3" type="noConversion"/>
  </si>
  <si>
    <t>误差核对---2%以内合理</t>
    <phoneticPr fontId="3" type="noConversion"/>
  </si>
  <si>
    <t>%</t>
    <phoneticPr fontId="3" type="noConversion"/>
  </si>
  <si>
    <t>化学不完全燃烧热损失系数</t>
    <phoneticPr fontId="3" type="noConversion"/>
  </si>
  <si>
    <t>q3</t>
    <phoneticPr fontId="3" type="noConversion"/>
  </si>
  <si>
    <t xml:space="preserve"> 5.2、烟囱出口内径计算及低负荷校核</t>
    <phoneticPr fontId="3" type="noConversion"/>
  </si>
  <si>
    <t>坡度小于2%</t>
    <phoneticPr fontId="3" type="noConversion"/>
  </si>
  <si>
    <t>化学不完全燃烧热损失</t>
    <phoneticPr fontId="3" type="noConversion"/>
  </si>
  <si>
    <t>Q3</t>
    <phoneticPr fontId="3" type="noConversion"/>
  </si>
  <si>
    <t>散热损失系数</t>
    <phoneticPr fontId="3" type="noConversion"/>
  </si>
  <si>
    <t>q5</t>
    <phoneticPr fontId="3" type="noConversion"/>
  </si>
  <si>
    <t>散热损失</t>
    <phoneticPr fontId="3" type="noConversion"/>
  </si>
  <si>
    <t>Q5</t>
    <phoneticPr fontId="3" type="noConversion"/>
  </si>
  <si>
    <t>计算---理论燃烧温度</t>
    <phoneticPr fontId="3" type="noConversion"/>
  </si>
  <si>
    <t>高温系数</t>
    <phoneticPr fontId="3" type="noConversion"/>
  </si>
  <si>
    <r>
      <t>实际燃烧温度-</t>
    </r>
    <r>
      <rPr>
        <sz val="12"/>
        <rFont val="宋体"/>
        <family val="3"/>
        <charset val="134"/>
      </rPr>
      <t>-系数法</t>
    </r>
    <phoneticPr fontId="3" type="noConversion"/>
  </si>
  <si>
    <r>
      <t>实际燃烧温度-</t>
    </r>
    <r>
      <rPr>
        <sz val="12"/>
        <rFont val="宋体"/>
        <family val="3"/>
        <charset val="134"/>
      </rPr>
      <t>-计算法</t>
    </r>
    <phoneticPr fontId="3" type="noConversion"/>
  </si>
  <si>
    <r>
      <t>烟气中R</t>
    </r>
    <r>
      <rPr>
        <sz val="12"/>
        <rFont val="宋体"/>
        <family val="3"/>
        <charset val="134"/>
      </rPr>
      <t>02体积焓</t>
    </r>
    <phoneticPr fontId="3" type="noConversion"/>
  </si>
  <si>
    <t>ct</t>
    <phoneticPr fontId="3" type="noConversion"/>
  </si>
  <si>
    <r>
      <t>烟气中N</t>
    </r>
    <r>
      <rPr>
        <sz val="12"/>
        <rFont val="宋体"/>
        <family val="3"/>
        <charset val="134"/>
      </rPr>
      <t>2体积焓</t>
    </r>
    <r>
      <rPr>
        <sz val="12"/>
        <rFont val="宋体"/>
        <family val="3"/>
        <charset val="134"/>
      </rPr>
      <t/>
    </r>
    <phoneticPr fontId="3" type="noConversion"/>
  </si>
  <si>
    <r>
      <t>烟气中H</t>
    </r>
    <r>
      <rPr>
        <sz val="12"/>
        <rFont val="宋体"/>
        <family val="3"/>
        <charset val="134"/>
      </rPr>
      <t>2O体积焓</t>
    </r>
    <r>
      <rPr>
        <sz val="12"/>
        <rFont val="宋体"/>
        <family val="3"/>
        <charset val="134"/>
      </rPr>
      <t/>
    </r>
    <phoneticPr fontId="3" type="noConversion"/>
  </si>
  <si>
    <r>
      <t>烟气中空气</t>
    </r>
    <r>
      <rPr>
        <sz val="12"/>
        <rFont val="宋体"/>
        <family val="3"/>
        <charset val="134"/>
      </rPr>
      <t>体积焓</t>
    </r>
    <r>
      <rPr>
        <sz val="12"/>
        <rFont val="宋体"/>
        <family val="3"/>
        <charset val="134"/>
      </rPr>
      <t/>
    </r>
    <phoneticPr fontId="3" type="noConversion"/>
  </si>
  <si>
    <r>
      <t>烟气中飞灰</t>
    </r>
    <r>
      <rPr>
        <sz val="12"/>
        <rFont val="宋体"/>
        <family val="3"/>
        <charset val="134"/>
      </rPr>
      <t>体积焓</t>
    </r>
    <r>
      <rPr>
        <sz val="12"/>
        <rFont val="宋体"/>
        <family val="3"/>
        <charset val="134"/>
      </rPr>
      <t/>
    </r>
    <phoneticPr fontId="3" type="noConversion"/>
  </si>
  <si>
    <r>
      <t>理论烟气</t>
    </r>
    <r>
      <rPr>
        <sz val="12"/>
        <rFont val="宋体"/>
        <family val="3"/>
        <charset val="134"/>
      </rPr>
      <t>体积焓</t>
    </r>
    <r>
      <rPr>
        <sz val="12"/>
        <rFont val="宋体"/>
        <family val="3"/>
        <charset val="134"/>
      </rPr>
      <t/>
    </r>
    <phoneticPr fontId="3" type="noConversion"/>
  </si>
  <si>
    <t>hy0</t>
    <phoneticPr fontId="3" type="noConversion"/>
  </si>
  <si>
    <r>
      <t>理论空气</t>
    </r>
    <r>
      <rPr>
        <sz val="12"/>
        <rFont val="宋体"/>
        <family val="3"/>
        <charset val="134"/>
      </rPr>
      <t>体积焓</t>
    </r>
    <r>
      <rPr>
        <sz val="12"/>
        <rFont val="宋体"/>
        <family val="3"/>
        <charset val="134"/>
      </rPr>
      <t/>
    </r>
    <phoneticPr fontId="3" type="noConversion"/>
  </si>
  <si>
    <t>hk0</t>
    <phoneticPr fontId="3" type="noConversion"/>
  </si>
  <si>
    <r>
      <t>理论飞灰</t>
    </r>
    <r>
      <rPr>
        <sz val="12"/>
        <rFont val="宋体"/>
        <family val="3"/>
        <charset val="134"/>
      </rPr>
      <t>体积焓</t>
    </r>
    <r>
      <rPr>
        <sz val="12"/>
        <rFont val="宋体"/>
        <family val="3"/>
        <charset val="134"/>
      </rPr>
      <t/>
    </r>
    <phoneticPr fontId="3" type="noConversion"/>
  </si>
  <si>
    <t>hfh</t>
    <phoneticPr fontId="3" type="noConversion"/>
  </si>
  <si>
    <r>
      <t>烟气</t>
    </r>
    <r>
      <rPr>
        <sz val="12"/>
        <rFont val="宋体"/>
        <family val="3"/>
        <charset val="134"/>
      </rPr>
      <t>焓</t>
    </r>
    <r>
      <rPr>
        <sz val="12"/>
        <rFont val="宋体"/>
        <family val="3"/>
        <charset val="134"/>
      </rPr>
      <t/>
    </r>
    <phoneticPr fontId="3" type="noConversion"/>
  </si>
  <si>
    <t>hy</t>
    <phoneticPr fontId="3" type="noConversion"/>
  </si>
  <si>
    <t>二、未知成分的烟气量计算</t>
    <phoneticPr fontId="3" type="noConversion"/>
  </si>
  <si>
    <t>;</t>
    <phoneticPr fontId="3" type="noConversion"/>
  </si>
  <si>
    <t>燃气干燥基地位发热量</t>
    <phoneticPr fontId="3" type="noConversion"/>
  </si>
  <si>
    <t>Qd.net</t>
    <phoneticPr fontId="3" type="noConversion"/>
  </si>
  <si>
    <t>KJ/Nm³</t>
    <phoneticPr fontId="3" type="noConversion"/>
  </si>
  <si>
    <t>注意燃气的干基和收到基的转换，计算式选用公式，是通过干燥基选用的</t>
    <phoneticPr fontId="3" type="noConversion"/>
  </si>
  <si>
    <t>燃气收到基地位发热量</t>
    <phoneticPr fontId="3" type="noConversion"/>
  </si>
  <si>
    <t>Qar.net</t>
    <phoneticPr fontId="3" type="noConversion"/>
  </si>
  <si>
    <t>标态下每m³干燃气燃烧所需理论空气量</t>
    <phoneticPr fontId="3" type="noConversion"/>
  </si>
  <si>
    <t>m³/m³</t>
    <phoneticPr fontId="3" type="noConversion"/>
  </si>
  <si>
    <t>Qd.net&gt;10500时</t>
    <phoneticPr fontId="3" type="noConversion"/>
  </si>
  <si>
    <t>天然气</t>
    <phoneticPr fontId="3" type="noConversion"/>
  </si>
  <si>
    <t>液化石油气</t>
    <phoneticPr fontId="3" type="noConversion"/>
  </si>
  <si>
    <t>标态下每m³干燃气燃烧所需实际空气量</t>
    <phoneticPr fontId="3" type="noConversion"/>
  </si>
  <si>
    <t>Vy'</t>
    <phoneticPr fontId="3" type="noConversion"/>
  </si>
  <si>
    <t>天然气a=2</t>
    <phoneticPr fontId="3" type="noConversion"/>
  </si>
  <si>
    <t>石油伴生气a=2.2</t>
    <phoneticPr fontId="3" type="noConversion"/>
  </si>
  <si>
    <t>液化天然气a=4.5</t>
    <phoneticPr fontId="3" type="noConversion"/>
  </si>
  <si>
    <t>焦炉煤气</t>
    <phoneticPr fontId="3" type="noConversion"/>
  </si>
  <si>
    <t>Qar.net&lt;12600</t>
    <phoneticPr fontId="3" type="noConversion"/>
  </si>
  <si>
    <t>高炉煤气实际燃烧烟气量</t>
    <phoneticPr fontId="3" type="noConversion"/>
  </si>
  <si>
    <t>天然气实际燃烧烟气量</t>
    <phoneticPr fontId="3" type="noConversion"/>
  </si>
  <si>
    <r>
      <t>p</t>
    </r>
    <r>
      <rPr>
        <vertAlign val="subscript"/>
        <sz val="12"/>
        <rFont val="宋体"/>
        <family val="3"/>
        <charset val="134"/>
      </rPr>
      <t>0</t>
    </r>
    <phoneticPr fontId="3" type="noConversion"/>
  </si>
  <si>
    <t>机械传动效率</t>
    <phoneticPr fontId="3" type="noConversion"/>
  </si>
  <si>
    <t>风阻力</t>
    <phoneticPr fontId="3" type="noConversion"/>
  </si>
  <si>
    <t>1、工况--标况</t>
    <phoneticPr fontId="3" type="noConversion"/>
  </si>
  <si>
    <t>2、标况--工况</t>
    <phoneticPr fontId="3" type="noConversion"/>
  </si>
  <si>
    <t>3、送风机计算</t>
    <phoneticPr fontId="3" type="noConversion"/>
  </si>
  <si>
    <t>4、引风机计算</t>
    <phoneticPr fontId="3" type="noConversion"/>
  </si>
  <si>
    <t>风</t>
    <phoneticPr fontId="3" type="noConversion"/>
  </si>
  <si>
    <t>烟</t>
    <phoneticPr fontId="3" type="noConversion"/>
  </si>
  <si>
    <t>空气量（标况）</t>
    <phoneticPr fontId="3" type="noConversion"/>
  </si>
  <si>
    <t>烟气量（标况）</t>
    <phoneticPr fontId="3" type="noConversion"/>
  </si>
  <si>
    <t>风机全压头效率</t>
    <phoneticPr fontId="3" type="noConversion"/>
  </si>
  <si>
    <t>风机铭牌标定温度，一般为165/200℃</t>
    <phoneticPr fontId="3" type="noConversion"/>
  </si>
  <si>
    <t>1.05~1.2</t>
    <phoneticPr fontId="3" type="noConversion"/>
  </si>
  <si>
    <t>选用系数：1.05~1.2</t>
    <phoneticPr fontId="3" type="noConversion"/>
  </si>
  <si>
    <t>项目名称</t>
    <phoneticPr fontId="3" type="noConversion"/>
  </si>
  <si>
    <t>一次风</t>
    <phoneticPr fontId="3" type="noConversion"/>
  </si>
  <si>
    <t>（2）火电厂制粉系统设计计算技术规定</t>
    <phoneticPr fontId="3" type="noConversion"/>
  </si>
  <si>
    <t>推荐流速</t>
    <phoneticPr fontId="3" type="noConversion"/>
  </si>
  <si>
    <t>m/s</t>
    <phoneticPr fontId="3" type="noConversion"/>
  </si>
  <si>
    <t>送风机进出口冷风道</t>
    <phoneticPr fontId="3" type="noConversion"/>
  </si>
  <si>
    <t>10~12</t>
    <phoneticPr fontId="3" type="noConversion"/>
  </si>
  <si>
    <t>（8)P6</t>
    <phoneticPr fontId="3" type="noConversion"/>
  </si>
  <si>
    <t>（8）烟风煤粉管道设计技术规程</t>
    <phoneticPr fontId="3" type="noConversion"/>
  </si>
  <si>
    <t>热风道</t>
    <phoneticPr fontId="3" type="noConversion"/>
  </si>
  <si>
    <t>15~25</t>
    <phoneticPr fontId="3" type="noConversion"/>
  </si>
  <si>
    <t>风道阻力计算</t>
    <phoneticPr fontId="3" type="noConversion"/>
  </si>
  <si>
    <t>冷风道(吸风口至空预器）</t>
    <phoneticPr fontId="3" type="noConversion"/>
  </si>
  <si>
    <t>计算温度</t>
    <phoneticPr fontId="3" type="noConversion"/>
  </si>
  <si>
    <t>T</t>
    <phoneticPr fontId="3" type="noConversion"/>
  </si>
  <si>
    <t>烟风量计算表</t>
    <phoneticPr fontId="3" type="noConversion"/>
  </si>
  <si>
    <t>风量</t>
    <phoneticPr fontId="3" type="noConversion"/>
  </si>
  <si>
    <t>V</t>
    <phoneticPr fontId="3" type="noConversion"/>
  </si>
  <si>
    <r>
      <t>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</t>
    </r>
    <phoneticPr fontId="3" type="noConversion"/>
  </si>
  <si>
    <t>密度</t>
    <phoneticPr fontId="3" type="noConversion"/>
  </si>
  <si>
    <t>ρ</t>
    <phoneticPr fontId="3" type="noConversion"/>
  </si>
  <si>
    <r>
      <t>kg/m</t>
    </r>
    <r>
      <rPr>
        <vertAlign val="superscript"/>
        <sz val="12"/>
        <rFont val="宋体"/>
        <family val="3"/>
        <charset val="134"/>
      </rPr>
      <t>3</t>
    </r>
    <phoneticPr fontId="3" type="noConversion"/>
  </si>
  <si>
    <t>流速</t>
    <phoneticPr fontId="3" type="noConversion"/>
  </si>
  <si>
    <t>W</t>
    <phoneticPr fontId="3" type="noConversion"/>
  </si>
  <si>
    <t>取定</t>
    <phoneticPr fontId="3" type="noConversion"/>
  </si>
  <si>
    <t>动压头</t>
    <phoneticPr fontId="3" type="noConversion"/>
  </si>
  <si>
    <t>Hd</t>
    <phoneticPr fontId="3" type="noConversion"/>
  </si>
  <si>
    <t>Pa</t>
    <phoneticPr fontId="3" type="noConversion"/>
  </si>
  <si>
    <r>
      <t>W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*ρ/2</t>
    </r>
    <phoneticPr fontId="3" type="noConversion"/>
  </si>
  <si>
    <t>（2）P106</t>
    <phoneticPr fontId="3" type="noConversion"/>
  </si>
  <si>
    <t>风机进口</t>
    <phoneticPr fontId="3" type="noConversion"/>
  </si>
  <si>
    <t>风管截面积</t>
    <phoneticPr fontId="3" type="noConversion"/>
  </si>
  <si>
    <t>F</t>
    <phoneticPr fontId="3" type="noConversion"/>
  </si>
  <si>
    <r>
      <t>m</t>
    </r>
    <r>
      <rPr>
        <vertAlign val="superscript"/>
        <sz val="12"/>
        <color indexed="8"/>
        <rFont val="宋体"/>
        <family val="3"/>
        <charset val="134"/>
      </rPr>
      <t>2</t>
    </r>
    <phoneticPr fontId="3" type="noConversion"/>
  </si>
  <si>
    <t>V/W/3600</t>
    <phoneticPr fontId="3" type="noConversion"/>
  </si>
  <si>
    <t>A</t>
    <phoneticPr fontId="3" type="noConversion"/>
  </si>
  <si>
    <t>B</t>
    <phoneticPr fontId="3" type="noConversion"/>
  </si>
  <si>
    <t>F/A</t>
    <phoneticPr fontId="3" type="noConversion"/>
  </si>
  <si>
    <t>风管周长</t>
    <phoneticPr fontId="3" type="noConversion"/>
  </si>
  <si>
    <t>Lc</t>
    <phoneticPr fontId="3" type="noConversion"/>
  </si>
  <si>
    <t>2*(A+B)</t>
    <phoneticPr fontId="3" type="noConversion"/>
  </si>
  <si>
    <t>管道当量直径</t>
    <phoneticPr fontId="3" type="noConversion"/>
  </si>
  <si>
    <t>De</t>
    <phoneticPr fontId="3" type="noConversion"/>
  </si>
  <si>
    <t>4*F/Lc</t>
    <phoneticPr fontId="3" type="noConversion"/>
  </si>
  <si>
    <t>气体运动粘度</t>
    <phoneticPr fontId="3" type="noConversion"/>
  </si>
  <si>
    <t>υ</t>
    <phoneticPr fontId="3" type="noConversion"/>
  </si>
  <si>
    <r>
      <t>m</t>
    </r>
    <r>
      <rPr>
        <vertAlign val="superscript"/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/s</t>
    </r>
    <phoneticPr fontId="3" type="noConversion"/>
  </si>
  <si>
    <t>（2）P288</t>
    <phoneticPr fontId="3" type="noConversion"/>
  </si>
  <si>
    <t>雷诺数</t>
    <phoneticPr fontId="3" type="noConversion"/>
  </si>
  <si>
    <t>Re</t>
    <phoneticPr fontId="3" type="noConversion"/>
  </si>
  <si>
    <t>W*De/υ</t>
    <phoneticPr fontId="3" type="noConversion"/>
  </si>
  <si>
    <t>管道内壁绝对粗糙度</t>
    <phoneticPr fontId="3" type="noConversion"/>
  </si>
  <si>
    <t>△</t>
    <phoneticPr fontId="3" type="noConversion"/>
  </si>
  <si>
    <t>（2）P109</t>
    <phoneticPr fontId="3" type="noConversion"/>
  </si>
  <si>
    <t>管道内壁相对对粗糙度</t>
    <phoneticPr fontId="3" type="noConversion"/>
  </si>
  <si>
    <t>△1</t>
    <phoneticPr fontId="3" type="noConversion"/>
  </si>
  <si>
    <t>△/De</t>
    <phoneticPr fontId="3" type="noConversion"/>
  </si>
  <si>
    <t>（2）P107</t>
    <phoneticPr fontId="3" type="noConversion"/>
  </si>
  <si>
    <t>560/△1</t>
    <phoneticPr fontId="3" type="noConversion"/>
  </si>
  <si>
    <t>判别式</t>
    <phoneticPr fontId="3" type="noConversion"/>
  </si>
  <si>
    <t>4000 &lt;Re&lt; 560/△1</t>
    <phoneticPr fontId="3" type="noConversion"/>
  </si>
  <si>
    <t>紊流过渡区</t>
    <phoneticPr fontId="3" type="noConversion"/>
  </si>
  <si>
    <t>1.1.1</t>
    <phoneticPr fontId="3" type="noConversion"/>
  </si>
  <si>
    <t>摩擦阻力</t>
    <phoneticPr fontId="3" type="noConversion"/>
  </si>
  <si>
    <t>△Pm1</t>
    <phoneticPr fontId="3" type="noConversion"/>
  </si>
  <si>
    <t>△Pd*L1</t>
    <phoneticPr fontId="3" type="noConversion"/>
  </si>
  <si>
    <t>摩擦阻力系数</t>
    <phoneticPr fontId="3" type="noConversion"/>
  </si>
  <si>
    <t>λ</t>
    <phoneticPr fontId="3" type="noConversion"/>
  </si>
  <si>
    <t>图7.2.2</t>
    <phoneticPr fontId="3" type="noConversion"/>
  </si>
  <si>
    <t>（2）P108</t>
    <phoneticPr fontId="3" type="noConversion"/>
  </si>
  <si>
    <t>单位长度摩擦阻力</t>
    <phoneticPr fontId="3" type="noConversion"/>
  </si>
  <si>
    <t>△Pd</t>
    <phoneticPr fontId="3" type="noConversion"/>
  </si>
  <si>
    <t>Pa/m</t>
    <phoneticPr fontId="3" type="noConversion"/>
  </si>
  <si>
    <t>λ*Hd/De</t>
    <phoneticPr fontId="3" type="noConversion"/>
  </si>
  <si>
    <t>风管长度</t>
    <phoneticPr fontId="3" type="noConversion"/>
  </si>
  <si>
    <t>L1</t>
    <phoneticPr fontId="3" type="noConversion"/>
  </si>
  <si>
    <t>布置图</t>
    <phoneticPr fontId="3" type="noConversion"/>
  </si>
  <si>
    <t>1.1.2</t>
    <phoneticPr fontId="3" type="noConversion"/>
  </si>
  <si>
    <t>局部阻力</t>
    <phoneticPr fontId="3" type="noConversion"/>
  </si>
  <si>
    <t>△Pj1</t>
    <phoneticPr fontId="3" type="noConversion"/>
  </si>
  <si>
    <t>ζ*Hd</t>
    <phoneticPr fontId="3" type="noConversion"/>
  </si>
  <si>
    <t>局部阻力系数</t>
    <phoneticPr fontId="3" type="noConversion"/>
  </si>
  <si>
    <t>ζ</t>
    <phoneticPr fontId="3" type="noConversion"/>
  </si>
  <si>
    <r>
      <t>ζ</t>
    </r>
    <r>
      <rPr>
        <sz val="12"/>
        <rFont val="Times New Roman"/>
        <family val="1"/>
      </rPr>
      <t>1+ζ2+ζ3</t>
    </r>
    <phoneticPr fontId="3" type="noConversion"/>
  </si>
  <si>
    <r>
      <t>1</t>
    </r>
    <r>
      <rPr>
        <sz val="12"/>
        <rFont val="宋体"/>
        <family val="3"/>
        <charset val="134"/>
      </rPr>
      <t>个吸风口局部阻力系数</t>
    </r>
    <phoneticPr fontId="3" type="noConversion"/>
  </si>
  <si>
    <r>
      <t>ζ</t>
    </r>
    <r>
      <rPr>
        <sz val="12"/>
        <rFont val="Times New Roman"/>
        <family val="1"/>
      </rPr>
      <t>1</t>
    </r>
    <phoneticPr fontId="3" type="noConversion"/>
  </si>
  <si>
    <t>有档板门</t>
    <phoneticPr fontId="3" type="noConversion"/>
  </si>
  <si>
    <t>（2）P140</t>
    <phoneticPr fontId="3" type="noConversion"/>
  </si>
  <si>
    <r>
      <t>1</t>
    </r>
    <r>
      <rPr>
        <sz val="12"/>
        <rFont val="宋体"/>
        <family val="3"/>
        <charset val="134"/>
      </rPr>
      <t>个风机进口风箱</t>
    </r>
    <phoneticPr fontId="3" type="noConversion"/>
  </si>
  <si>
    <r>
      <t>ζ</t>
    </r>
    <r>
      <rPr>
        <sz val="12"/>
        <rFont val="Times New Roman"/>
        <family val="1"/>
      </rPr>
      <t>2</t>
    </r>
    <phoneticPr fontId="3" type="noConversion"/>
  </si>
  <si>
    <t>改进式进风箱</t>
    <phoneticPr fontId="3" type="noConversion"/>
  </si>
  <si>
    <t>（2）P144</t>
    <phoneticPr fontId="3" type="noConversion"/>
  </si>
  <si>
    <r>
      <t>1</t>
    </r>
    <r>
      <rPr>
        <sz val="12"/>
        <rFont val="宋体"/>
        <family val="3"/>
        <charset val="134"/>
      </rPr>
      <t>个进口挡板门</t>
    </r>
    <phoneticPr fontId="3" type="noConversion"/>
  </si>
  <si>
    <r>
      <t>ζ</t>
    </r>
    <r>
      <rPr>
        <sz val="12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/>
    </r>
    <phoneticPr fontId="3" type="noConversion"/>
  </si>
  <si>
    <t>假定θ=15°</t>
    <phoneticPr fontId="3" type="noConversion"/>
  </si>
  <si>
    <t>（2）P130</t>
    <phoneticPr fontId="3" type="noConversion"/>
  </si>
  <si>
    <t>1.1.3</t>
    <phoneticPr fontId="3" type="noConversion"/>
  </si>
  <si>
    <t>风机进口段总阻力</t>
    <phoneticPr fontId="3" type="noConversion"/>
  </si>
  <si>
    <t>△Pz1</t>
    <phoneticPr fontId="3" type="noConversion"/>
  </si>
  <si>
    <t>△Pm1+△Pj1</t>
    <phoneticPr fontId="3" type="noConversion"/>
  </si>
  <si>
    <t>风机出口至空预器</t>
    <phoneticPr fontId="3" type="noConversion"/>
  </si>
  <si>
    <t>1.2.1</t>
    <phoneticPr fontId="3" type="noConversion"/>
  </si>
  <si>
    <t>△Pm2</t>
    <phoneticPr fontId="3" type="noConversion"/>
  </si>
  <si>
    <t>△Pd*L2</t>
    <phoneticPr fontId="3" type="noConversion"/>
  </si>
  <si>
    <t>约同进口</t>
    <phoneticPr fontId="3" type="noConversion"/>
  </si>
  <si>
    <t>L2</t>
    <phoneticPr fontId="3" type="noConversion"/>
  </si>
  <si>
    <t>布置图估计</t>
    <phoneticPr fontId="3" type="noConversion"/>
  </si>
  <si>
    <t>1.2.2</t>
    <phoneticPr fontId="3" type="noConversion"/>
  </si>
  <si>
    <t>△Pj2</t>
    <phoneticPr fontId="3" type="noConversion"/>
  </si>
  <si>
    <r>
      <t>1</t>
    </r>
    <r>
      <rPr>
        <sz val="12"/>
        <rFont val="宋体"/>
        <family val="3"/>
        <charset val="134"/>
      </rPr>
      <t>只出口渐扩管</t>
    </r>
    <phoneticPr fontId="3" type="noConversion"/>
  </si>
  <si>
    <t>假定</t>
    <phoneticPr fontId="3" type="noConversion"/>
  </si>
  <si>
    <t>（2）P136</t>
    <phoneticPr fontId="3" type="noConversion"/>
  </si>
  <si>
    <r>
      <t>1</t>
    </r>
    <r>
      <rPr>
        <sz val="12"/>
        <rFont val="宋体"/>
        <family val="3"/>
        <charset val="134"/>
      </rPr>
      <t>只</t>
    </r>
    <r>
      <rPr>
        <sz val="12"/>
        <rFont val="Times New Roman"/>
        <family val="1"/>
      </rPr>
      <t>90</t>
    </r>
    <r>
      <rPr>
        <sz val="12"/>
        <rFont val="宋体"/>
        <family val="3"/>
        <charset val="134"/>
      </rPr>
      <t>度等截面急转弯头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（二次风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只）</t>
    </r>
    <phoneticPr fontId="3" type="noConversion"/>
  </si>
  <si>
    <t>（12）P？</t>
    <phoneticPr fontId="3" type="noConversion"/>
  </si>
  <si>
    <t>空预器接头扩散管</t>
    <phoneticPr fontId="3" type="noConversion"/>
  </si>
  <si>
    <t>1.2.3</t>
    <phoneticPr fontId="3" type="noConversion"/>
  </si>
  <si>
    <t>风机出口至空预器总阻力</t>
    <phoneticPr fontId="3" type="noConversion"/>
  </si>
  <si>
    <t>△Pz2</t>
    <phoneticPr fontId="3" type="noConversion"/>
  </si>
  <si>
    <t>△Pm2+△Pj2</t>
    <phoneticPr fontId="3" type="noConversion"/>
  </si>
  <si>
    <t>热风道（空预器出口至锅炉风室）</t>
    <phoneticPr fontId="3" type="noConversion"/>
  </si>
  <si>
    <t>播煤风</t>
    <phoneticPr fontId="3" type="noConversion"/>
  </si>
  <si>
    <t>热一次风的2%</t>
    <phoneticPr fontId="3" type="noConversion"/>
  </si>
  <si>
    <t>风管截面积（热风管分两路进入风室）</t>
    <phoneticPr fontId="3" type="noConversion"/>
  </si>
  <si>
    <t>m2</t>
    <phoneticPr fontId="3" type="noConversion"/>
  </si>
  <si>
    <t>V/W/3600/2</t>
    <phoneticPr fontId="3" type="noConversion"/>
  </si>
  <si>
    <t>圆管直径(一、二次热风为圆管）</t>
    <phoneticPr fontId="3" type="noConversion"/>
  </si>
  <si>
    <t>D(De)</t>
    <phoneticPr fontId="3" type="noConversion"/>
  </si>
  <si>
    <r>
      <t>F=0.785*D</t>
    </r>
    <r>
      <rPr>
        <vertAlign val="superscript"/>
        <sz val="12"/>
        <color indexed="8"/>
        <rFont val="宋体"/>
        <family val="3"/>
        <charset val="134"/>
      </rPr>
      <t>2</t>
    </r>
    <phoneticPr fontId="3" type="noConversion"/>
  </si>
  <si>
    <t>m2/s</t>
    <phoneticPr fontId="3" type="noConversion"/>
  </si>
  <si>
    <t>△Pm3</t>
    <phoneticPr fontId="3" type="noConversion"/>
  </si>
  <si>
    <t>△Pd*L3</t>
    <phoneticPr fontId="3" type="noConversion"/>
  </si>
  <si>
    <t>L3</t>
    <phoneticPr fontId="3" type="noConversion"/>
  </si>
  <si>
    <t>△Pj3</t>
    <phoneticPr fontId="3" type="noConversion"/>
  </si>
  <si>
    <r>
      <t>ζ</t>
    </r>
    <r>
      <rPr>
        <sz val="12"/>
        <rFont val="Times New Roman"/>
        <family val="1"/>
      </rPr>
      <t>1+ζ2+ζ3+ζ4</t>
    </r>
    <phoneticPr fontId="3" type="noConversion"/>
  </si>
  <si>
    <t>2.2.1</t>
    <phoneticPr fontId="3" type="noConversion"/>
  </si>
  <si>
    <r>
      <t>1</t>
    </r>
    <r>
      <rPr>
        <sz val="12"/>
        <rFont val="宋体"/>
        <family val="3"/>
        <charset val="134"/>
      </rPr>
      <t>个空预器出口收缩管</t>
    </r>
    <phoneticPr fontId="3" type="noConversion"/>
  </si>
  <si>
    <t>2.2.2</t>
    <phoneticPr fontId="3" type="noConversion"/>
  </si>
  <si>
    <r>
      <t>6</t>
    </r>
    <r>
      <rPr>
        <sz val="12"/>
        <rFont val="宋体"/>
        <family val="3"/>
        <charset val="134"/>
      </rPr>
      <t>只</t>
    </r>
    <r>
      <rPr>
        <sz val="12"/>
        <rFont val="Times New Roman"/>
        <family val="1"/>
      </rPr>
      <t>90</t>
    </r>
    <r>
      <rPr>
        <sz val="12"/>
        <rFont val="宋体"/>
        <family val="3"/>
        <charset val="134"/>
      </rPr>
      <t>度等截面急转弯头</t>
    </r>
    <phoneticPr fontId="3" type="noConversion"/>
  </si>
  <si>
    <r>
      <t>ζ</t>
    </r>
    <r>
      <rPr>
        <sz val="12"/>
        <rFont val="Times New Roman"/>
        <family val="1"/>
      </rPr>
      <t>2=n*ζo</t>
    </r>
    <phoneticPr fontId="3" type="noConversion"/>
  </si>
  <si>
    <t>弯头数量</t>
    <phoneticPr fontId="3" type="noConversion"/>
  </si>
  <si>
    <t>n</t>
    <phoneticPr fontId="3" type="noConversion"/>
  </si>
  <si>
    <t>弯头局部阻力系统(焊接圆管）</t>
    <phoneticPr fontId="3" type="noConversion"/>
  </si>
  <si>
    <t>ζo</t>
    <phoneticPr fontId="3" type="noConversion"/>
  </si>
  <si>
    <t>2.2.3</t>
    <phoneticPr fontId="3" type="noConversion"/>
  </si>
  <si>
    <r>
      <t>1</t>
    </r>
    <r>
      <rPr>
        <sz val="12"/>
        <rFont val="宋体"/>
        <family val="3"/>
        <charset val="134"/>
      </rPr>
      <t>个热一次风进风室风门</t>
    </r>
    <phoneticPr fontId="3" type="noConversion"/>
  </si>
  <si>
    <t>假定θ=10°</t>
    <phoneticPr fontId="3" type="noConversion"/>
  </si>
  <si>
    <t>2.2.4</t>
    <phoneticPr fontId="3" type="noConversion"/>
  </si>
  <si>
    <r>
      <t>1</t>
    </r>
    <r>
      <rPr>
        <sz val="12"/>
        <rFont val="宋体"/>
        <family val="3"/>
        <charset val="134"/>
      </rPr>
      <t>个热一次风进燃烧室风门</t>
    </r>
    <phoneticPr fontId="3" type="noConversion"/>
  </si>
  <si>
    <r>
      <t>ζ</t>
    </r>
    <r>
      <rPr>
        <sz val="12"/>
        <rFont val="Times New Roman"/>
        <family val="1"/>
      </rPr>
      <t>4</t>
    </r>
    <r>
      <rPr>
        <sz val="11"/>
        <color indexed="8"/>
        <rFont val="宋体"/>
        <family val="3"/>
        <charset val="134"/>
      </rPr>
      <t/>
    </r>
    <phoneticPr fontId="3" type="noConversion"/>
  </si>
  <si>
    <t>空预器出口至锅炉风室</t>
    <phoneticPr fontId="3" type="noConversion"/>
  </si>
  <si>
    <t>△Pz3</t>
    <phoneticPr fontId="3" type="noConversion"/>
  </si>
  <si>
    <t>△Pm3+△Pj3</t>
    <phoneticPr fontId="3" type="noConversion"/>
  </si>
  <si>
    <t>风道总阻力</t>
    <phoneticPr fontId="3" type="noConversion"/>
  </si>
  <si>
    <t>△Pz</t>
    <phoneticPr fontId="3" type="noConversion"/>
  </si>
  <si>
    <t>△Pz1+△Pz2+△Pz3</t>
    <phoneticPr fontId="3" type="noConversion"/>
  </si>
  <si>
    <t>烟道阻力计算（1台引风机/1炉）</t>
  </si>
  <si>
    <t>除尘器出口至引风机入口</t>
  </si>
  <si>
    <t>图7.3.2-2</t>
  </si>
  <si>
    <t>除尘器出口至引风机入口总阻力</t>
  </si>
  <si>
    <t>引风机出口至烟囱</t>
  </si>
  <si>
    <t>烟量(引风机进口)</t>
  </si>
  <si>
    <t>引风机出口至烟囱入口总阻力</t>
  </si>
  <si>
    <t>序号</t>
    <phoneticPr fontId="3" type="noConversion"/>
  </si>
  <si>
    <t>项目名称</t>
    <phoneticPr fontId="3" type="noConversion"/>
  </si>
  <si>
    <t>符号</t>
    <phoneticPr fontId="3" type="noConversion"/>
  </si>
  <si>
    <t>单位</t>
    <phoneticPr fontId="3" type="noConversion"/>
  </si>
  <si>
    <t>公式及计算</t>
    <phoneticPr fontId="3" type="noConversion"/>
  </si>
  <si>
    <t>钢烟道</t>
    <phoneticPr fontId="3" type="noConversion"/>
  </si>
  <si>
    <t>（2）火电厂制粉系统设计计算技术规定</t>
    <phoneticPr fontId="3" type="noConversion"/>
  </si>
  <si>
    <t>推荐流速</t>
    <phoneticPr fontId="3" type="noConversion"/>
  </si>
  <si>
    <t>m/s</t>
    <phoneticPr fontId="3" type="noConversion"/>
  </si>
  <si>
    <t>10~15</t>
    <phoneticPr fontId="3" type="noConversion"/>
  </si>
  <si>
    <t>（8)P6</t>
    <phoneticPr fontId="3" type="noConversion"/>
  </si>
  <si>
    <t>（8）烟风煤粉管道设计技术规程</t>
    <phoneticPr fontId="3" type="noConversion"/>
  </si>
  <si>
    <t>空预器出口至除尘器入口</t>
    <phoneticPr fontId="3" type="noConversion"/>
  </si>
  <si>
    <t>计算温度(空预器出口)</t>
    <phoneticPr fontId="3" type="noConversion"/>
  </si>
  <si>
    <t>T"y</t>
    <phoneticPr fontId="3" type="noConversion"/>
  </si>
  <si>
    <t>℃</t>
    <phoneticPr fontId="3" type="noConversion"/>
  </si>
  <si>
    <t>烟风量计算表</t>
    <phoneticPr fontId="3" type="noConversion"/>
  </si>
  <si>
    <t xml:space="preserve">烟量(空预器出口) </t>
    <phoneticPr fontId="3" type="noConversion"/>
  </si>
  <si>
    <t>Vyk</t>
    <phoneticPr fontId="3" type="noConversion"/>
  </si>
  <si>
    <r>
      <t>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/h</t>
    </r>
    <phoneticPr fontId="3" type="noConversion"/>
  </si>
  <si>
    <t>密度</t>
    <phoneticPr fontId="3" type="noConversion"/>
  </si>
  <si>
    <t>ρyk</t>
    <phoneticPr fontId="3" type="noConversion"/>
  </si>
  <si>
    <r>
      <t>kg/m</t>
    </r>
    <r>
      <rPr>
        <vertAlign val="superscript"/>
        <sz val="12"/>
        <rFont val="宋体"/>
        <family val="3"/>
        <charset val="134"/>
      </rPr>
      <t>3</t>
    </r>
    <phoneticPr fontId="3" type="noConversion"/>
  </si>
  <si>
    <t>流速</t>
    <phoneticPr fontId="3" type="noConversion"/>
  </si>
  <si>
    <t>W</t>
    <phoneticPr fontId="3" type="noConversion"/>
  </si>
  <si>
    <t>取定</t>
    <phoneticPr fontId="3" type="noConversion"/>
  </si>
  <si>
    <t>动压头</t>
    <phoneticPr fontId="3" type="noConversion"/>
  </si>
  <si>
    <t>Hd</t>
    <phoneticPr fontId="3" type="noConversion"/>
  </si>
  <si>
    <t>Pa</t>
    <phoneticPr fontId="3" type="noConversion"/>
  </si>
  <si>
    <r>
      <t>W</t>
    </r>
    <r>
      <rPr>
        <vertAlign val="super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*ρ/2</t>
    </r>
    <phoneticPr fontId="3" type="noConversion"/>
  </si>
  <si>
    <t>（2）P106</t>
    <phoneticPr fontId="3" type="noConversion"/>
  </si>
  <si>
    <t>烟管截面积</t>
    <phoneticPr fontId="3" type="noConversion"/>
  </si>
  <si>
    <t>F</t>
    <phoneticPr fontId="3" type="noConversion"/>
  </si>
  <si>
    <t>m2</t>
    <phoneticPr fontId="3" type="noConversion"/>
  </si>
  <si>
    <t>V/W/3600</t>
    <phoneticPr fontId="3" type="noConversion"/>
  </si>
  <si>
    <t>长</t>
    <phoneticPr fontId="3" type="noConversion"/>
  </si>
  <si>
    <t>A</t>
    <phoneticPr fontId="3" type="noConversion"/>
  </si>
  <si>
    <t>m</t>
    <phoneticPr fontId="3" type="noConversion"/>
  </si>
  <si>
    <t>宽</t>
    <phoneticPr fontId="3" type="noConversion"/>
  </si>
  <si>
    <t>B</t>
    <phoneticPr fontId="3" type="noConversion"/>
  </si>
  <si>
    <t>F/A</t>
    <phoneticPr fontId="3" type="noConversion"/>
  </si>
  <si>
    <t>风管周长</t>
    <phoneticPr fontId="3" type="noConversion"/>
  </si>
  <si>
    <t>Lc</t>
    <phoneticPr fontId="3" type="noConversion"/>
  </si>
  <si>
    <t>2*(A+B)</t>
    <phoneticPr fontId="3" type="noConversion"/>
  </si>
  <si>
    <t>管道当量直径</t>
    <phoneticPr fontId="3" type="noConversion"/>
  </si>
  <si>
    <t>De</t>
    <phoneticPr fontId="3" type="noConversion"/>
  </si>
  <si>
    <t>4*F/Lc</t>
    <phoneticPr fontId="3" type="noConversion"/>
  </si>
  <si>
    <t>气体运动粘度</t>
    <phoneticPr fontId="3" type="noConversion"/>
  </si>
  <si>
    <t>υ</t>
    <phoneticPr fontId="3" type="noConversion"/>
  </si>
  <si>
    <r>
      <t>m</t>
    </r>
    <r>
      <rPr>
        <vertAlign val="superscript"/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/s</t>
    </r>
    <phoneticPr fontId="3" type="noConversion"/>
  </si>
  <si>
    <t>（2）P288</t>
    <phoneticPr fontId="3" type="noConversion"/>
  </si>
  <si>
    <t>雷诺数</t>
    <phoneticPr fontId="3" type="noConversion"/>
  </si>
  <si>
    <t>Re</t>
    <phoneticPr fontId="3" type="noConversion"/>
  </si>
  <si>
    <t>W*De/υ</t>
    <phoneticPr fontId="3" type="noConversion"/>
  </si>
  <si>
    <t>管道内壁绝对粗糙度</t>
    <phoneticPr fontId="3" type="noConversion"/>
  </si>
  <si>
    <t>△</t>
    <phoneticPr fontId="3" type="noConversion"/>
  </si>
  <si>
    <t>（2）P109</t>
    <phoneticPr fontId="3" type="noConversion"/>
  </si>
  <si>
    <t>管道内壁相对对粗糙度</t>
    <phoneticPr fontId="3" type="noConversion"/>
  </si>
  <si>
    <t>△1</t>
    <phoneticPr fontId="3" type="noConversion"/>
  </si>
  <si>
    <t>△/De</t>
    <phoneticPr fontId="3" type="noConversion"/>
  </si>
  <si>
    <t>（2）P107</t>
    <phoneticPr fontId="3" type="noConversion"/>
  </si>
  <si>
    <t>560/△1</t>
    <phoneticPr fontId="3" type="noConversion"/>
  </si>
  <si>
    <t>判别式</t>
    <phoneticPr fontId="3" type="noConversion"/>
  </si>
  <si>
    <t>4000 &lt;Re&lt; 560/△1</t>
    <phoneticPr fontId="3" type="noConversion"/>
  </si>
  <si>
    <t>紊流过渡区</t>
    <phoneticPr fontId="3" type="noConversion"/>
  </si>
  <si>
    <t>摩擦阻力</t>
    <phoneticPr fontId="3" type="noConversion"/>
  </si>
  <si>
    <t>△Pm1</t>
    <phoneticPr fontId="3" type="noConversion"/>
  </si>
  <si>
    <t>△Pd*L1</t>
    <phoneticPr fontId="3" type="noConversion"/>
  </si>
  <si>
    <t>摩擦阻力系数</t>
    <phoneticPr fontId="3" type="noConversion"/>
  </si>
  <si>
    <t>λ</t>
    <phoneticPr fontId="3" type="noConversion"/>
  </si>
  <si>
    <t>图7.2.2</t>
    <phoneticPr fontId="3" type="noConversion"/>
  </si>
  <si>
    <t>（2）P108</t>
    <phoneticPr fontId="3" type="noConversion"/>
  </si>
  <si>
    <t>单位长度摩擦阻力</t>
    <phoneticPr fontId="3" type="noConversion"/>
  </si>
  <si>
    <t>△Pd</t>
    <phoneticPr fontId="3" type="noConversion"/>
  </si>
  <si>
    <t>Pa/m</t>
    <phoneticPr fontId="3" type="noConversion"/>
  </si>
  <si>
    <t>λ*Hd/De</t>
    <phoneticPr fontId="3" type="noConversion"/>
  </si>
  <si>
    <t>风管长度</t>
    <phoneticPr fontId="3" type="noConversion"/>
  </si>
  <si>
    <t>L1</t>
    <phoneticPr fontId="3" type="noConversion"/>
  </si>
  <si>
    <t>布置图</t>
    <phoneticPr fontId="3" type="noConversion"/>
  </si>
  <si>
    <t>局部阻力</t>
    <phoneticPr fontId="3" type="noConversion"/>
  </si>
  <si>
    <t>△Pj1</t>
    <phoneticPr fontId="3" type="noConversion"/>
  </si>
  <si>
    <t>ζ*Hd</t>
    <phoneticPr fontId="3" type="noConversion"/>
  </si>
  <si>
    <t>局部阻力系数</t>
    <phoneticPr fontId="3" type="noConversion"/>
  </si>
  <si>
    <t>ζ</t>
    <phoneticPr fontId="3" type="noConversion"/>
  </si>
  <si>
    <r>
      <t>ζ</t>
    </r>
    <r>
      <rPr>
        <sz val="12"/>
        <rFont val="Times New Roman"/>
        <family val="1"/>
      </rPr>
      <t>1+ζ2+ζ3</t>
    </r>
    <phoneticPr fontId="3" type="noConversion"/>
  </si>
  <si>
    <t>1.2.1</t>
    <phoneticPr fontId="3" type="noConversion"/>
  </si>
  <si>
    <r>
      <t>1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90</t>
    </r>
    <r>
      <rPr>
        <sz val="12"/>
        <rFont val="宋体"/>
        <family val="3"/>
        <charset val="134"/>
      </rPr>
      <t>度空预器出口变径急转弯头</t>
    </r>
    <phoneticPr fontId="3" type="noConversion"/>
  </si>
  <si>
    <r>
      <t>ζ</t>
    </r>
    <r>
      <rPr>
        <sz val="12"/>
        <rFont val="Times New Roman"/>
        <family val="1"/>
      </rPr>
      <t>1</t>
    </r>
    <phoneticPr fontId="3" type="noConversion"/>
  </si>
  <si>
    <r>
      <t>ζ</t>
    </r>
    <r>
      <rPr>
        <sz val="12"/>
        <rFont val="Times New Roman"/>
        <family val="1"/>
      </rPr>
      <t>1=ζu1</t>
    </r>
    <phoneticPr fontId="3" type="noConversion"/>
  </si>
  <si>
    <t>（2）P111</t>
    <phoneticPr fontId="3" type="noConversion"/>
  </si>
  <si>
    <t>含粉气体局部阻力系数</t>
    <phoneticPr fontId="3" type="noConversion"/>
  </si>
  <si>
    <t>ζu1</t>
    <phoneticPr fontId="3" type="noConversion"/>
  </si>
  <si>
    <t>ζo（1+Ku）</t>
    <phoneticPr fontId="3" type="noConversion"/>
  </si>
  <si>
    <t>（2）P110</t>
    <phoneticPr fontId="3" type="noConversion"/>
  </si>
  <si>
    <t>纯空气弯头局部阻力系数</t>
    <phoneticPr fontId="3" type="noConversion"/>
  </si>
  <si>
    <t>ζo</t>
    <phoneticPr fontId="3" type="noConversion"/>
  </si>
  <si>
    <t>假定</t>
    <phoneticPr fontId="3" type="noConversion"/>
  </si>
  <si>
    <t>（12）P？</t>
    <phoneticPr fontId="3" type="noConversion"/>
  </si>
  <si>
    <t>含粉浓度修正系数</t>
    <phoneticPr fontId="3" type="noConversion"/>
  </si>
  <si>
    <t>Ku</t>
    <phoneticPr fontId="3" type="noConversion"/>
  </si>
  <si>
    <t>表7.3.2-2</t>
    <phoneticPr fontId="3" type="noConversion"/>
  </si>
  <si>
    <t>（2）P113</t>
    <phoneticPr fontId="3" type="noConversion"/>
  </si>
  <si>
    <t>1.2.2</t>
    <phoneticPr fontId="3" type="noConversion"/>
  </si>
  <si>
    <r>
      <t>1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90</t>
    </r>
    <r>
      <rPr>
        <sz val="12"/>
        <rFont val="宋体"/>
        <family val="3"/>
        <charset val="134"/>
      </rPr>
      <t>度等截面缓转弯头</t>
    </r>
    <phoneticPr fontId="3" type="noConversion"/>
  </si>
  <si>
    <r>
      <t>ζ</t>
    </r>
    <r>
      <rPr>
        <sz val="12"/>
        <rFont val="Times New Roman"/>
        <family val="1"/>
      </rPr>
      <t>2</t>
    </r>
    <phoneticPr fontId="3" type="noConversion"/>
  </si>
  <si>
    <t>ζu2</t>
    <phoneticPr fontId="3" type="noConversion"/>
  </si>
  <si>
    <t>1.2.3</t>
    <phoneticPr fontId="3" type="noConversion"/>
  </si>
  <si>
    <r>
      <t>1</t>
    </r>
    <r>
      <rPr>
        <sz val="12"/>
        <rFont val="宋体"/>
        <family val="3"/>
        <charset val="134"/>
      </rPr>
      <t>个渐缩管</t>
    </r>
    <phoneticPr fontId="3" type="noConversion"/>
  </si>
  <si>
    <r>
      <t>ζ</t>
    </r>
    <r>
      <rPr>
        <sz val="12"/>
        <rFont val="Times New Roman"/>
        <family val="1"/>
      </rPr>
      <t>3</t>
    </r>
    <r>
      <rPr>
        <sz val="11"/>
        <color indexed="8"/>
        <rFont val="宋体"/>
        <family val="3"/>
        <charset val="134"/>
      </rPr>
      <t/>
    </r>
  </si>
  <si>
    <t>（2）P137</t>
    <phoneticPr fontId="3" type="noConversion"/>
  </si>
  <si>
    <t>空预器出口至除尘器入口总阻力</t>
    <phoneticPr fontId="3" type="noConversion"/>
  </si>
  <si>
    <t>△Pz1</t>
    <phoneticPr fontId="3" type="noConversion"/>
  </si>
  <si>
    <t>△Pm1+△Pj1</t>
    <phoneticPr fontId="3" type="noConversion"/>
  </si>
  <si>
    <t>计算温度</t>
    <phoneticPr fontId="3" type="noConversion"/>
  </si>
  <si>
    <t>Tcc</t>
    <phoneticPr fontId="3" type="noConversion"/>
  </si>
  <si>
    <t>烟量(除尘器出口)</t>
    <phoneticPr fontId="3" type="noConversion"/>
  </si>
  <si>
    <t>Vycc</t>
    <phoneticPr fontId="3" type="noConversion"/>
  </si>
  <si>
    <t>ρycc</t>
    <phoneticPr fontId="3" type="noConversion"/>
  </si>
  <si>
    <r>
      <t>m</t>
    </r>
    <r>
      <rPr>
        <vertAlign val="superscript"/>
        <sz val="12"/>
        <color indexed="8"/>
        <rFont val="宋体"/>
        <family val="3"/>
        <charset val="134"/>
      </rPr>
      <t>2</t>
    </r>
    <phoneticPr fontId="3" type="noConversion"/>
  </si>
  <si>
    <t>△Pm2</t>
    <phoneticPr fontId="3" type="noConversion"/>
  </si>
  <si>
    <t>△Pd*L3</t>
    <phoneticPr fontId="3" type="noConversion"/>
  </si>
  <si>
    <t>L2</t>
    <phoneticPr fontId="3" type="noConversion"/>
  </si>
  <si>
    <t>△Pj2</t>
    <phoneticPr fontId="3" type="noConversion"/>
  </si>
  <si>
    <t>2.2.1</t>
    <phoneticPr fontId="3" type="noConversion"/>
  </si>
  <si>
    <r>
      <t>1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90</t>
    </r>
    <r>
      <rPr>
        <sz val="12"/>
        <rFont val="宋体"/>
        <family val="3"/>
        <charset val="134"/>
      </rPr>
      <t>度除尘器出口缓转弯头</t>
    </r>
    <phoneticPr fontId="3" type="noConversion"/>
  </si>
  <si>
    <t>（12）？</t>
    <phoneticPr fontId="3" type="noConversion"/>
  </si>
  <si>
    <t>2.2.2</t>
    <phoneticPr fontId="3" type="noConversion"/>
  </si>
  <si>
    <r>
      <t>ζ2</t>
    </r>
    <r>
      <rPr>
        <sz val="12"/>
        <rFont val="Times New Roman"/>
        <family val="1"/>
      </rPr>
      <t>=ζu2</t>
    </r>
    <phoneticPr fontId="3" type="noConversion"/>
  </si>
  <si>
    <t>纯空气局部阻力系数</t>
    <phoneticPr fontId="3" type="noConversion"/>
  </si>
  <si>
    <r>
      <t>K</t>
    </r>
    <r>
      <rPr>
        <vertAlign val="subscript"/>
        <sz val="12"/>
        <color indexed="8"/>
        <rFont val="宋体"/>
        <family val="3"/>
        <charset val="134"/>
      </rPr>
      <t>θ</t>
    </r>
    <r>
      <rPr>
        <sz val="12"/>
        <color indexed="8"/>
        <rFont val="宋体"/>
        <family val="3"/>
        <charset val="134"/>
      </rPr>
      <t>*Kc*ζ</t>
    </r>
    <r>
      <rPr>
        <vertAlign val="subscript"/>
        <sz val="12"/>
        <color indexed="8"/>
        <rFont val="宋体"/>
        <family val="3"/>
        <charset val="134"/>
      </rPr>
      <t>△0</t>
    </r>
    <phoneticPr fontId="3" type="noConversion"/>
  </si>
  <si>
    <t>转弯角度修正系数</t>
    <phoneticPr fontId="3" type="noConversion"/>
  </si>
  <si>
    <r>
      <t>K</t>
    </r>
    <r>
      <rPr>
        <vertAlign val="subscript"/>
        <sz val="12"/>
        <rFont val="宋体"/>
        <family val="3"/>
        <charset val="134"/>
      </rPr>
      <t>θ</t>
    </r>
    <phoneticPr fontId="3" type="noConversion"/>
  </si>
  <si>
    <t>图7.3.2-1</t>
    <phoneticPr fontId="3" type="noConversion"/>
  </si>
  <si>
    <t>截面高宽比修正系数</t>
    <phoneticPr fontId="3" type="noConversion"/>
  </si>
  <si>
    <t>Kc</t>
    <phoneticPr fontId="3" type="noConversion"/>
  </si>
  <si>
    <t>包含管壁粗糙度影响的纯空气下的转弯原始阻力系数</t>
    <phoneticPr fontId="3" type="noConversion"/>
  </si>
  <si>
    <r>
      <t>ζ</t>
    </r>
    <r>
      <rPr>
        <vertAlign val="subscript"/>
        <sz val="12"/>
        <rFont val="宋体"/>
        <family val="3"/>
        <charset val="134"/>
      </rPr>
      <t>△0</t>
    </r>
    <phoneticPr fontId="3" type="noConversion"/>
  </si>
  <si>
    <t>图7.3.2-5</t>
    <phoneticPr fontId="3" type="noConversion"/>
  </si>
  <si>
    <t>2.2.3</t>
    <phoneticPr fontId="3" type="noConversion"/>
  </si>
  <si>
    <r>
      <t>1</t>
    </r>
    <r>
      <rPr>
        <sz val="12"/>
        <rFont val="宋体"/>
        <family val="3"/>
        <charset val="134"/>
      </rPr>
      <t>个进口风箱</t>
    </r>
    <phoneticPr fontId="3" type="noConversion"/>
  </si>
  <si>
    <t>（2）P144</t>
    <phoneticPr fontId="3" type="noConversion"/>
  </si>
  <si>
    <t>△Pz2</t>
    <phoneticPr fontId="3" type="noConversion"/>
  </si>
  <si>
    <t>△Pm2+△Pj2</t>
    <phoneticPr fontId="3" type="noConversion"/>
  </si>
  <si>
    <t>金属烟道</t>
    <phoneticPr fontId="3" type="noConversion"/>
  </si>
  <si>
    <t>Txf</t>
    <phoneticPr fontId="3" type="noConversion"/>
  </si>
  <si>
    <t>Vyxf</t>
    <phoneticPr fontId="3" type="noConversion"/>
  </si>
  <si>
    <t>ρyxf</t>
    <phoneticPr fontId="3" type="noConversion"/>
  </si>
  <si>
    <t>高</t>
    <phoneticPr fontId="3" type="noConversion"/>
  </si>
  <si>
    <t>m2/s</t>
    <phoneticPr fontId="3" type="noConversion"/>
  </si>
  <si>
    <t>L3</t>
    <phoneticPr fontId="3" type="noConversion"/>
  </si>
  <si>
    <t>△Pj3</t>
    <phoneticPr fontId="3" type="noConversion"/>
  </si>
  <si>
    <r>
      <t>ζ</t>
    </r>
    <r>
      <rPr>
        <sz val="12"/>
        <rFont val="Times New Roman"/>
        <family val="1"/>
      </rPr>
      <t>1+ζ2+ζ3+ζ4</t>
    </r>
    <phoneticPr fontId="3" type="noConversion"/>
  </si>
  <si>
    <t>3.2.1</t>
    <phoneticPr fontId="3" type="noConversion"/>
  </si>
  <si>
    <t>1个出口插板门</t>
    <phoneticPr fontId="3" type="noConversion"/>
  </si>
  <si>
    <t>图7.3.10-1</t>
    <phoneticPr fontId="3" type="noConversion"/>
  </si>
  <si>
    <t>（2）P130</t>
    <phoneticPr fontId="3" type="noConversion"/>
  </si>
  <si>
    <t>3.2.2</t>
    <phoneticPr fontId="3" type="noConversion"/>
  </si>
  <si>
    <t>1个出口扩散管</t>
    <phoneticPr fontId="3" type="noConversion"/>
  </si>
  <si>
    <t>（2）P136</t>
    <phoneticPr fontId="3" type="noConversion"/>
  </si>
  <si>
    <t>3.2.3</t>
    <phoneticPr fontId="3" type="noConversion"/>
  </si>
  <si>
    <r>
      <t>1</t>
    </r>
    <r>
      <rPr>
        <sz val="12"/>
        <rFont val="宋体"/>
        <family val="3"/>
        <charset val="134"/>
      </rPr>
      <t>个</t>
    </r>
    <r>
      <rPr>
        <sz val="12"/>
        <rFont val="Times New Roman"/>
        <family val="1"/>
      </rPr>
      <t>45</t>
    </r>
    <r>
      <rPr>
        <sz val="12"/>
        <rFont val="宋体"/>
        <family val="3"/>
        <charset val="134"/>
      </rPr>
      <t>度缓转弯头（钢烟道）/1个90度缓转弯头（砖烟道）</t>
    </r>
    <phoneticPr fontId="3" type="noConversion"/>
  </si>
  <si>
    <r>
      <t>ζ</t>
    </r>
    <r>
      <rPr>
        <sz val="12"/>
        <rFont val="Times New Roman"/>
        <family val="1"/>
      </rPr>
      <t>3</t>
    </r>
    <phoneticPr fontId="3" type="noConversion"/>
  </si>
  <si>
    <r>
      <t>ζ</t>
    </r>
    <r>
      <rPr>
        <sz val="12"/>
        <rFont val="Times New Roman"/>
        <family val="1"/>
      </rPr>
      <t>3=ζu</t>
    </r>
    <phoneticPr fontId="3" type="noConversion"/>
  </si>
  <si>
    <t>ζu</t>
    <phoneticPr fontId="3" type="noConversion"/>
  </si>
  <si>
    <t>3.2.4</t>
    <phoneticPr fontId="3" type="noConversion"/>
  </si>
  <si>
    <t>砖烟道烟囱入口</t>
    <phoneticPr fontId="3" type="noConversion"/>
  </si>
  <si>
    <r>
      <t>ζ</t>
    </r>
    <r>
      <rPr>
        <sz val="12"/>
        <rFont val="Times New Roman"/>
        <family val="1"/>
      </rPr>
      <t>4</t>
    </r>
    <phoneticPr fontId="3" type="noConversion"/>
  </si>
  <si>
    <t>表7.4.1</t>
    <phoneticPr fontId="3" type="noConversion"/>
  </si>
  <si>
    <t>（2）P147</t>
    <phoneticPr fontId="3" type="noConversion"/>
  </si>
  <si>
    <t>△Pz3</t>
    <phoneticPr fontId="3" type="noConversion"/>
  </si>
  <si>
    <t>△Pm3+△Pj3</t>
    <phoneticPr fontId="3" type="noConversion"/>
  </si>
  <si>
    <t>烟道总阻力</t>
    <phoneticPr fontId="3" type="noConversion"/>
  </si>
  <si>
    <t>△Pz</t>
    <phoneticPr fontId="3" type="noConversion"/>
  </si>
  <si>
    <t>△Pz1+△Pz2+△Pz3</t>
    <phoneticPr fontId="3" type="noConversion"/>
  </si>
  <si>
    <t>风阻力估算</t>
    <phoneticPr fontId="3" type="noConversion"/>
  </si>
  <si>
    <t>高温空气预热器阻力</t>
    <phoneticPr fontId="3" type="noConversion"/>
  </si>
  <si>
    <t>低温空气预热器阻力</t>
    <phoneticPr fontId="3" type="noConversion"/>
  </si>
  <si>
    <t>风道阻力</t>
    <phoneticPr fontId="3" type="noConversion"/>
  </si>
  <si>
    <t>燃烧器阻力</t>
    <phoneticPr fontId="3" type="noConversion"/>
  </si>
  <si>
    <t>烟阻力估算</t>
    <phoneticPr fontId="3" type="noConversion"/>
  </si>
  <si>
    <t>锅炉总阻力</t>
    <phoneticPr fontId="3" type="noConversion"/>
  </si>
  <si>
    <t>烟道阻力</t>
    <phoneticPr fontId="3" type="noConversion"/>
  </si>
  <si>
    <t>燃烧计算</t>
    <phoneticPr fontId="3" type="noConversion"/>
  </si>
  <si>
    <t>给定</t>
    <phoneticPr fontId="3" type="noConversion"/>
  </si>
  <si>
    <t>平均值</t>
    <phoneticPr fontId="3" type="noConversion"/>
  </si>
  <si>
    <t>锅炉计算</t>
    <phoneticPr fontId="3" type="noConversion"/>
  </si>
  <si>
    <t>一个</t>
    <phoneticPr fontId="3" type="noConversion"/>
  </si>
  <si>
    <t>50%定频</t>
    <phoneticPr fontId="3" type="noConversion"/>
  </si>
  <si>
    <t>50%变频</t>
    <phoneticPr fontId="3" type="noConversion"/>
  </si>
  <si>
    <t>流量</t>
    <phoneticPr fontId="3" type="noConversion"/>
  </si>
  <si>
    <t>功率</t>
    <phoneticPr fontId="3" type="noConversion"/>
  </si>
  <si>
    <t>标态下空气密度</t>
    <phoneticPr fontId="3" type="noConversion"/>
  </si>
  <si>
    <t>标态下烟气密度</t>
    <phoneticPr fontId="3" type="noConversion"/>
  </si>
  <si>
    <t xml:space="preserve"> 5.3、烟囱阻力计算</t>
    <phoneticPr fontId="3" type="noConversion"/>
  </si>
  <si>
    <t>30%低负荷校核流速</t>
    <phoneticPr fontId="3" type="noConversion"/>
  </si>
  <si>
    <t>W'</t>
    <phoneticPr fontId="3" type="noConversion"/>
  </si>
  <si>
    <t>低负荷下排烟温度</t>
    <phoneticPr fontId="3" type="noConversion"/>
  </si>
  <si>
    <t>低负荷下烟气量</t>
    <phoneticPr fontId="3" type="noConversion"/>
  </si>
  <si>
    <t>q1</t>
    <phoneticPr fontId="3" type="noConversion"/>
  </si>
  <si>
    <t>不低于2.5</t>
    <phoneticPr fontId="3" type="noConversion"/>
  </si>
  <si>
    <t>Q</t>
    <phoneticPr fontId="3" type="noConversion"/>
  </si>
  <si>
    <t>t/h</t>
    <phoneticPr fontId="3" type="noConversion"/>
  </si>
  <si>
    <t>流量</t>
    <phoneticPr fontId="3" type="noConversion"/>
  </si>
  <si>
    <t>η</t>
    <phoneticPr fontId="3" type="noConversion"/>
  </si>
  <si>
    <t>/</t>
    <phoneticPr fontId="3" type="noConversion"/>
  </si>
  <si>
    <t>泵效率</t>
    <phoneticPr fontId="3" type="noConversion"/>
  </si>
  <si>
    <t>0.6~0.8</t>
    <phoneticPr fontId="3" type="noConversion"/>
  </si>
  <si>
    <t>η2</t>
    <phoneticPr fontId="3" type="noConversion"/>
  </si>
  <si>
    <t>机械传动效率</t>
    <phoneticPr fontId="3" type="noConversion"/>
  </si>
  <si>
    <t>直连1.0，联轴器0.98，皮带0.95</t>
    <phoneticPr fontId="3" type="noConversion"/>
  </si>
  <si>
    <t>η3</t>
    <phoneticPr fontId="3" type="noConversion"/>
  </si>
  <si>
    <t>电动机效率</t>
    <phoneticPr fontId="3" type="noConversion"/>
  </si>
  <si>
    <t>通常取0.9</t>
    <phoneticPr fontId="3" type="noConversion"/>
  </si>
  <si>
    <t>β</t>
    <phoneticPr fontId="3" type="noConversion"/>
  </si>
  <si>
    <t>电动机备用系数</t>
    <phoneticPr fontId="3" type="noConversion"/>
  </si>
  <si>
    <t>查表选取</t>
    <phoneticPr fontId="3" type="noConversion"/>
  </si>
  <si>
    <t>P</t>
    <phoneticPr fontId="3" type="noConversion"/>
  </si>
  <si>
    <t>kw</t>
    <phoneticPr fontId="3" type="noConversion"/>
  </si>
  <si>
    <t>配套电机功率</t>
    <phoneticPr fontId="3" type="noConversion"/>
  </si>
  <si>
    <r>
      <t>ρβgHq</t>
    </r>
    <r>
      <rPr>
        <vertAlign val="subscript"/>
        <sz val="10"/>
        <rFont val="宋体"/>
        <family val="3"/>
        <charset val="134"/>
      </rPr>
      <t>v</t>
    </r>
    <r>
      <rPr>
        <sz val="10"/>
        <rFont val="宋体"/>
        <family val="3"/>
        <charset val="134"/>
      </rPr>
      <t>/(3600*1000*η*η</t>
    </r>
    <r>
      <rPr>
        <vertAlign val="sub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*η</t>
    </r>
    <r>
      <rPr>
        <vertAlign val="sub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)</t>
    </r>
    <phoneticPr fontId="3" type="noConversion"/>
  </si>
  <si>
    <t>P1</t>
    <phoneticPr fontId="3" type="noConversion"/>
  </si>
  <si>
    <t>Mpa</t>
    <phoneticPr fontId="3" type="noConversion"/>
  </si>
  <si>
    <t>射水抽气器工作压力</t>
    <phoneticPr fontId="3" type="noConversion"/>
  </si>
  <si>
    <t>输入</t>
    <phoneticPr fontId="3" type="noConversion"/>
  </si>
  <si>
    <t>P2</t>
    <phoneticPr fontId="3" type="noConversion"/>
  </si>
  <si>
    <t>射水箱工作压力</t>
    <phoneticPr fontId="3" type="noConversion"/>
  </si>
  <si>
    <t>H1</t>
    <phoneticPr fontId="3" type="noConversion"/>
  </si>
  <si>
    <t>M</t>
    <phoneticPr fontId="3" type="noConversion"/>
  </si>
  <si>
    <t>射水抽气器安装高度与射水箱最高水位之差</t>
    <phoneticPr fontId="3" type="noConversion"/>
  </si>
  <si>
    <t>H2</t>
    <phoneticPr fontId="3" type="noConversion"/>
  </si>
  <si>
    <t>m</t>
    <phoneticPr fontId="3" type="noConversion"/>
  </si>
  <si>
    <t>射水泵进出口管路损失</t>
    <phoneticPr fontId="3" type="noConversion"/>
  </si>
  <si>
    <r>
      <t>一般采用5mH</t>
    </r>
    <r>
      <rPr>
        <vertAlign val="subscript"/>
        <sz val="12"/>
        <rFont val="仿宋_GB2312"/>
        <family val="3"/>
        <charset val="134"/>
      </rPr>
      <t>2</t>
    </r>
    <r>
      <rPr>
        <sz val="12"/>
        <rFont val="仿宋_GB2312"/>
        <family val="3"/>
        <charset val="134"/>
      </rPr>
      <t>O</t>
    </r>
    <phoneticPr fontId="3" type="noConversion"/>
  </si>
  <si>
    <t>101.97(P1-P2)+H1+H2</t>
    <phoneticPr fontId="3" type="noConversion"/>
  </si>
  <si>
    <t>循环水回水母管压力</t>
    <phoneticPr fontId="3" type="noConversion"/>
  </si>
  <si>
    <t>101.97(-P1+P2)+H1+H2</t>
    <phoneticPr fontId="3" type="noConversion"/>
  </si>
  <si>
    <t>已知（半小时抽完射水箱水）</t>
    <phoneticPr fontId="3" type="noConversion"/>
  </si>
  <si>
    <t>1、凝结水泵</t>
    <phoneticPr fontId="3" type="noConversion"/>
  </si>
  <si>
    <t>除氧器工作压力</t>
    <phoneticPr fontId="3" type="noConversion"/>
  </si>
  <si>
    <t>数据输入</t>
    <phoneticPr fontId="3" type="noConversion"/>
  </si>
  <si>
    <t>除氧器入口凝结水管喷雾头所需喷雾压力</t>
    <phoneticPr fontId="3" type="noConversion"/>
  </si>
  <si>
    <t>凝汽器的最高真空</t>
    <phoneticPr fontId="3" type="noConversion"/>
  </si>
  <si>
    <t>H3</t>
    <phoneticPr fontId="3" type="noConversion"/>
  </si>
  <si>
    <t xml:space="preserve"> 从热井到除氧器凝结水入口的凝结水管道流动阻力，另加20%裕量</t>
    <phoneticPr fontId="3" type="noConversion"/>
  </si>
  <si>
    <t>H</t>
    <phoneticPr fontId="3" type="noConversion"/>
  </si>
  <si>
    <t>凝结水泵的设计扬程</t>
    <phoneticPr fontId="3" type="noConversion"/>
  </si>
  <si>
    <t>101.97P+H1+H2+H3</t>
    <phoneticPr fontId="3" type="noConversion"/>
  </si>
  <si>
    <t>冷风</t>
    <phoneticPr fontId="3" type="noConversion"/>
  </si>
  <si>
    <t>热风</t>
    <phoneticPr fontId="3" type="noConversion"/>
  </si>
  <si>
    <t>钢烟道</t>
    <phoneticPr fontId="3" type="noConversion"/>
  </si>
  <si>
    <t>10~12</t>
    <phoneticPr fontId="3" type="noConversion"/>
  </si>
  <si>
    <t>15~25</t>
    <phoneticPr fontId="3" type="noConversion"/>
  </si>
  <si>
    <t>10~15</t>
    <phoneticPr fontId="3" type="noConversion"/>
  </si>
  <si>
    <t>查询</t>
    <phoneticPr fontId="3" type="noConversion"/>
  </si>
  <si>
    <t>额定流量</t>
  </si>
  <si>
    <t>m³/kg</t>
  </si>
  <si>
    <t>m²/s</t>
  </si>
  <si>
    <t>ξ52</t>
  </si>
  <si>
    <t>（10）汽水管道设计技术规定</t>
    <phoneticPr fontId="3" type="noConversion"/>
  </si>
  <si>
    <t>项目名称</t>
    <phoneticPr fontId="3" type="noConversion"/>
  </si>
  <si>
    <t>符号</t>
    <phoneticPr fontId="3" type="noConversion"/>
  </si>
  <si>
    <t>单位</t>
    <phoneticPr fontId="3" type="noConversion"/>
  </si>
  <si>
    <t>公式及计算</t>
    <phoneticPr fontId="3" type="noConversion"/>
  </si>
  <si>
    <t>主蒸汽</t>
    <phoneticPr fontId="3" type="noConversion"/>
  </si>
  <si>
    <t>除氧加热蒸汽（外供）</t>
    <phoneticPr fontId="3" type="noConversion"/>
  </si>
  <si>
    <t>低压给水(给水泵入口）</t>
    <phoneticPr fontId="3" type="noConversion"/>
  </si>
  <si>
    <t>高压给水（给水泵出口）</t>
    <phoneticPr fontId="3" type="noConversion"/>
  </si>
  <si>
    <t>凝泵入口</t>
    <phoneticPr fontId="3" type="noConversion"/>
  </si>
  <si>
    <t>凝泵出口</t>
    <phoneticPr fontId="3" type="noConversion"/>
  </si>
  <si>
    <t>推荐流速</t>
    <phoneticPr fontId="3" type="noConversion"/>
  </si>
  <si>
    <t>m/s</t>
    <phoneticPr fontId="3" type="noConversion"/>
  </si>
  <si>
    <t>40~60</t>
    <phoneticPr fontId="3" type="noConversion"/>
  </si>
  <si>
    <t>35~60</t>
    <phoneticPr fontId="3" type="noConversion"/>
  </si>
  <si>
    <t>0.5~2.0</t>
    <phoneticPr fontId="3" type="noConversion"/>
  </si>
  <si>
    <t>2~6</t>
    <phoneticPr fontId="3" type="noConversion"/>
  </si>
  <si>
    <t>0.5~1.0</t>
    <phoneticPr fontId="3" type="noConversion"/>
  </si>
  <si>
    <t>2.0~3.5</t>
    <phoneticPr fontId="3" type="noConversion"/>
  </si>
  <si>
    <t>基本参数</t>
    <phoneticPr fontId="3" type="noConversion"/>
  </si>
  <si>
    <t>分管</t>
    <phoneticPr fontId="3" type="noConversion"/>
  </si>
  <si>
    <t>母管</t>
    <phoneticPr fontId="3" type="noConversion"/>
  </si>
  <si>
    <t>运行压力（表压)</t>
    <phoneticPr fontId="3" type="noConversion"/>
  </si>
  <si>
    <t>P</t>
    <phoneticPr fontId="3" type="noConversion"/>
  </si>
  <si>
    <t>Mpa</t>
    <phoneticPr fontId="3" type="noConversion"/>
  </si>
  <si>
    <t>锅炉厂资料</t>
    <phoneticPr fontId="3" type="noConversion"/>
  </si>
  <si>
    <t>运行温度</t>
    <phoneticPr fontId="3" type="noConversion"/>
  </si>
  <si>
    <t>T</t>
    <phoneticPr fontId="3" type="noConversion"/>
  </si>
  <si>
    <t>℃</t>
    <phoneticPr fontId="3" type="noConversion"/>
  </si>
  <si>
    <t>G</t>
    <phoneticPr fontId="3" type="noConversion"/>
  </si>
  <si>
    <t>t/h</t>
    <phoneticPr fontId="3" type="noConversion"/>
  </si>
  <si>
    <t>介质比容</t>
    <phoneticPr fontId="3" type="noConversion"/>
  </si>
  <si>
    <t>γ</t>
    <phoneticPr fontId="3" type="noConversion"/>
  </si>
  <si>
    <t>水蒸汽计算表</t>
    <phoneticPr fontId="3" type="noConversion"/>
  </si>
  <si>
    <t>介质运动粘度</t>
    <phoneticPr fontId="3" type="noConversion"/>
  </si>
  <si>
    <t>υ</t>
    <phoneticPr fontId="3" type="noConversion"/>
  </si>
  <si>
    <t>流速</t>
    <phoneticPr fontId="3" type="noConversion"/>
  </si>
  <si>
    <t>W</t>
    <phoneticPr fontId="3" type="noConversion"/>
  </si>
  <si>
    <t xml:space="preserve"> </t>
    <phoneticPr fontId="3" type="noConversion"/>
  </si>
  <si>
    <t>计算流速</t>
    <phoneticPr fontId="3" type="noConversion"/>
  </si>
  <si>
    <r>
      <t>0.3537Gγ/Di</t>
    </r>
    <r>
      <rPr>
        <vertAlign val="superscript"/>
        <sz val="9"/>
        <rFont val="方正舒体"/>
        <family val="3"/>
        <charset val="134"/>
      </rPr>
      <t>2</t>
    </r>
    <phoneticPr fontId="3" type="noConversion"/>
  </si>
  <si>
    <t>动压头</t>
    <phoneticPr fontId="3" type="noConversion"/>
  </si>
  <si>
    <t>Hd</t>
    <phoneticPr fontId="3" type="noConversion"/>
  </si>
  <si>
    <t>Pa</t>
    <phoneticPr fontId="3" type="noConversion"/>
  </si>
  <si>
    <r>
      <t>W</t>
    </r>
    <r>
      <rPr>
        <vertAlign val="superscript"/>
        <sz val="9"/>
        <color indexed="10"/>
        <rFont val="宋体"/>
        <family val="3"/>
        <charset val="134"/>
      </rPr>
      <t>2</t>
    </r>
    <r>
      <rPr>
        <sz val="9"/>
        <color indexed="10"/>
        <rFont val="宋体"/>
        <family val="3"/>
        <charset val="134"/>
      </rPr>
      <t>/（2γ）</t>
    </r>
    <phoneticPr fontId="3" type="noConversion"/>
  </si>
  <si>
    <t>管道外径</t>
    <phoneticPr fontId="3" type="noConversion"/>
  </si>
  <si>
    <t>D</t>
    <phoneticPr fontId="3" type="noConversion"/>
  </si>
  <si>
    <t>m</t>
    <phoneticPr fontId="3" type="noConversion"/>
  </si>
  <si>
    <t>壁厚</t>
    <phoneticPr fontId="3" type="noConversion"/>
  </si>
  <si>
    <t>S</t>
    <phoneticPr fontId="3" type="noConversion"/>
  </si>
  <si>
    <t>内径</t>
    <phoneticPr fontId="3" type="noConversion"/>
  </si>
  <si>
    <t>Di</t>
    <phoneticPr fontId="3" type="noConversion"/>
  </si>
  <si>
    <t>阻力计算</t>
    <phoneticPr fontId="3" type="noConversion"/>
  </si>
  <si>
    <t>摩擦阻力</t>
    <phoneticPr fontId="3" type="noConversion"/>
  </si>
  <si>
    <t>△Pm</t>
    <phoneticPr fontId="3" type="noConversion"/>
  </si>
  <si>
    <t>△Pd*L</t>
    <phoneticPr fontId="3" type="noConversion"/>
  </si>
  <si>
    <t>雷诺数</t>
    <phoneticPr fontId="3" type="noConversion"/>
  </si>
  <si>
    <t>Re</t>
    <phoneticPr fontId="3" type="noConversion"/>
  </si>
  <si>
    <t>W*Di/υ</t>
    <phoneticPr fontId="3" type="noConversion"/>
  </si>
  <si>
    <t>等值粗糙度</t>
    <phoneticPr fontId="3" type="noConversion"/>
  </si>
  <si>
    <t>ε</t>
    <phoneticPr fontId="3" type="noConversion"/>
  </si>
  <si>
    <t>mm</t>
    <phoneticPr fontId="3" type="noConversion"/>
  </si>
  <si>
    <t>相对粗糙度</t>
    <phoneticPr fontId="3" type="noConversion"/>
  </si>
  <si>
    <t>ε/Di</t>
    <phoneticPr fontId="3" type="noConversion"/>
  </si>
  <si>
    <t>摩擦阻力系数</t>
    <phoneticPr fontId="3" type="noConversion"/>
  </si>
  <si>
    <t>λ</t>
    <phoneticPr fontId="3" type="noConversion"/>
  </si>
  <si>
    <t>图6.1.3</t>
    <phoneticPr fontId="3" type="noConversion"/>
  </si>
  <si>
    <t>单位长度摩擦阻力</t>
    <phoneticPr fontId="3" type="noConversion"/>
  </si>
  <si>
    <r>
      <t>△P</t>
    </r>
    <r>
      <rPr>
        <sz val="10"/>
        <rFont val="宋体"/>
        <family val="3"/>
        <charset val="134"/>
      </rPr>
      <t>d</t>
    </r>
    <phoneticPr fontId="3" type="noConversion"/>
  </si>
  <si>
    <t>Pa/m</t>
    <phoneticPr fontId="3" type="noConversion"/>
  </si>
  <si>
    <t>λ*Hd/Di</t>
    <phoneticPr fontId="3" type="noConversion"/>
  </si>
  <si>
    <t>管道长度</t>
    <phoneticPr fontId="3" type="noConversion"/>
  </si>
  <si>
    <t>L</t>
    <phoneticPr fontId="3" type="noConversion"/>
  </si>
  <si>
    <t>局部阻力</t>
    <phoneticPr fontId="3" type="noConversion"/>
  </si>
  <si>
    <t>△Pj</t>
    <phoneticPr fontId="3" type="noConversion"/>
  </si>
  <si>
    <t>ζ*Hd</t>
    <phoneticPr fontId="3" type="noConversion"/>
  </si>
  <si>
    <t>局部阻力系数合计</t>
    <phoneticPr fontId="3" type="noConversion"/>
  </si>
  <si>
    <t>ζ</t>
    <phoneticPr fontId="3" type="noConversion"/>
  </si>
  <si>
    <t>ξ1+ξ2+ξ3+ξ4+ξ5+ξ6</t>
    <phoneticPr fontId="3" type="noConversion"/>
  </si>
  <si>
    <t>2.2.1</t>
    <phoneticPr fontId="3" type="noConversion"/>
  </si>
  <si>
    <t>弯头阻力系数</t>
    <phoneticPr fontId="3" type="noConversion"/>
  </si>
  <si>
    <t>ξ1</t>
    <phoneticPr fontId="3" type="noConversion"/>
  </si>
  <si>
    <t>n1*ξ1'</t>
    <phoneticPr fontId="3" type="noConversion"/>
  </si>
  <si>
    <t>弯头规格</t>
    <phoneticPr fontId="3" type="noConversion"/>
  </si>
  <si>
    <r>
      <t>热压弯头PN</t>
    </r>
    <r>
      <rPr>
        <sz val="9"/>
        <color indexed="8"/>
        <rFont val="宋体"/>
        <family val="3"/>
        <charset val="134"/>
      </rPr>
      <t>4</t>
    </r>
    <r>
      <rPr>
        <sz val="9"/>
        <color indexed="8"/>
        <rFont val="宋体"/>
        <family val="3"/>
        <charset val="134"/>
      </rPr>
      <t>，DN200</t>
    </r>
    <phoneticPr fontId="3" type="noConversion"/>
  </si>
  <si>
    <t>——</t>
    <phoneticPr fontId="3" type="noConversion"/>
  </si>
  <si>
    <r>
      <t>热压弯头PN10</t>
    </r>
    <r>
      <rPr>
        <sz val="9"/>
        <color indexed="8"/>
        <rFont val="宋体"/>
        <family val="3"/>
        <charset val="134"/>
      </rPr>
      <t>，DN</t>
    </r>
    <r>
      <rPr>
        <sz val="9"/>
        <color indexed="8"/>
        <rFont val="宋体"/>
        <family val="3"/>
        <charset val="134"/>
      </rPr>
      <t>15</t>
    </r>
    <r>
      <rPr>
        <sz val="9"/>
        <color indexed="8"/>
        <rFont val="宋体"/>
        <family val="3"/>
        <charset val="134"/>
      </rPr>
      <t>0</t>
    </r>
    <phoneticPr fontId="3" type="noConversion"/>
  </si>
  <si>
    <r>
      <t>热压弯头PN</t>
    </r>
    <r>
      <rPr>
        <sz val="9"/>
        <color indexed="8"/>
        <rFont val="宋体"/>
        <family val="3"/>
        <charset val="134"/>
      </rPr>
      <t>4</t>
    </r>
    <r>
      <rPr>
        <sz val="9"/>
        <color indexed="8"/>
        <rFont val="宋体"/>
        <family val="3"/>
        <charset val="134"/>
      </rPr>
      <t>，DN300</t>
    </r>
    <phoneticPr fontId="3" type="noConversion"/>
  </si>
  <si>
    <r>
      <t>热压弯头PN4</t>
    </r>
    <r>
      <rPr>
        <sz val="9"/>
        <color indexed="8"/>
        <rFont val="宋体"/>
        <family val="3"/>
        <charset val="134"/>
      </rPr>
      <t>，DN</t>
    </r>
    <r>
      <rPr>
        <sz val="9"/>
        <color indexed="8"/>
        <rFont val="宋体"/>
        <family val="3"/>
        <charset val="134"/>
      </rPr>
      <t>1</t>
    </r>
    <r>
      <rPr>
        <sz val="9"/>
        <color indexed="8"/>
        <rFont val="宋体"/>
        <family val="3"/>
        <charset val="134"/>
      </rPr>
      <t>00</t>
    </r>
    <phoneticPr fontId="3" type="noConversion"/>
  </si>
  <si>
    <t>弯头半径</t>
    <phoneticPr fontId="3" type="noConversion"/>
  </si>
  <si>
    <t>R</t>
    <phoneticPr fontId="3" type="noConversion"/>
  </si>
  <si>
    <t>R/Di</t>
    <phoneticPr fontId="3" type="noConversion"/>
  </si>
  <si>
    <t>单个90º弯头阻力系数</t>
    <phoneticPr fontId="3" type="noConversion"/>
  </si>
  <si>
    <t>ξ1'</t>
    <phoneticPr fontId="3" type="noConversion"/>
  </si>
  <si>
    <t>公式</t>
    <phoneticPr fontId="3" type="noConversion"/>
  </si>
  <si>
    <t>14λ</t>
    <phoneticPr fontId="3" type="noConversion"/>
  </si>
  <si>
    <t>数值</t>
    <phoneticPr fontId="3" type="noConversion"/>
  </si>
  <si>
    <t>90º弯头数量</t>
    <phoneticPr fontId="3" type="noConversion"/>
  </si>
  <si>
    <t>n1</t>
    <phoneticPr fontId="3" type="noConversion"/>
  </si>
  <si>
    <t>个</t>
    <phoneticPr fontId="3" type="noConversion"/>
  </si>
  <si>
    <t>2.2.2</t>
    <phoneticPr fontId="3" type="noConversion"/>
  </si>
  <si>
    <t>三通阻力系数</t>
    <phoneticPr fontId="3" type="noConversion"/>
  </si>
  <si>
    <t>ξ2</t>
    <phoneticPr fontId="3" type="noConversion"/>
  </si>
  <si>
    <t>n2*ξ2'</t>
    <phoneticPr fontId="3" type="noConversion"/>
  </si>
  <si>
    <t>单个三通阻力系数</t>
    <phoneticPr fontId="3" type="noConversion"/>
  </si>
  <si>
    <t>ξ2'</t>
    <phoneticPr fontId="3" type="noConversion"/>
  </si>
  <si>
    <t>60λ</t>
    <phoneticPr fontId="3" type="noConversion"/>
  </si>
  <si>
    <t>20λ</t>
    <phoneticPr fontId="3" type="noConversion"/>
  </si>
  <si>
    <t>三通数量</t>
    <phoneticPr fontId="3" type="noConversion"/>
  </si>
  <si>
    <t>n2</t>
    <phoneticPr fontId="3" type="noConversion"/>
  </si>
  <si>
    <t>2.2.3</t>
    <phoneticPr fontId="3" type="noConversion"/>
  </si>
  <si>
    <t>异径管的阻力系数</t>
    <phoneticPr fontId="3" type="noConversion"/>
  </si>
  <si>
    <t>ξ3</t>
    <phoneticPr fontId="3" type="noConversion"/>
  </si>
  <si>
    <t>ξ31+ξ32</t>
    <phoneticPr fontId="3" type="noConversion"/>
  </si>
  <si>
    <t>2.2.3.1</t>
    <phoneticPr fontId="3" type="noConversion"/>
  </si>
  <si>
    <t>渐缩管（相应于小管径的阻力系数）</t>
    <phoneticPr fontId="3" type="noConversion"/>
  </si>
  <si>
    <t>ξ31</t>
    <phoneticPr fontId="3" type="noConversion"/>
  </si>
  <si>
    <r>
      <t>0.8sin</t>
    </r>
    <r>
      <rPr>
        <sz val="9"/>
        <color indexed="8"/>
        <rFont val="宋体"/>
        <family val="3"/>
        <charset val="134"/>
      </rPr>
      <t>θ*(1-β</t>
    </r>
    <r>
      <rPr>
        <vertAlign val="superscript"/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)/β</t>
    </r>
    <r>
      <rPr>
        <vertAlign val="superscript"/>
        <sz val="9"/>
        <color indexed="8"/>
        <rFont val="宋体"/>
        <family val="3"/>
        <charset val="134"/>
      </rPr>
      <t>4</t>
    </r>
    <phoneticPr fontId="3" type="noConversion"/>
  </si>
  <si>
    <t>异径管规格</t>
    <phoneticPr fontId="3" type="noConversion"/>
  </si>
  <si>
    <t>钢管模压大小头PN4，DN150X100，L=160</t>
    <phoneticPr fontId="3" type="noConversion"/>
  </si>
  <si>
    <t>钢管模压大小头PN4，DN150X125，L=160</t>
    <phoneticPr fontId="3" type="noConversion"/>
  </si>
  <si>
    <t>角度</t>
    <phoneticPr fontId="3" type="noConversion"/>
  </si>
  <si>
    <t>θ</t>
    <phoneticPr fontId="3" type="noConversion"/>
  </si>
  <si>
    <t>度</t>
    <phoneticPr fontId="3" type="noConversion"/>
  </si>
  <si>
    <r>
      <t>tan</t>
    </r>
    <r>
      <rPr>
        <vertAlign val="superscript"/>
        <sz val="9"/>
        <color indexed="8"/>
        <rFont val="宋体"/>
        <family val="3"/>
        <charset val="134"/>
      </rPr>
      <t>-1</t>
    </r>
    <r>
      <rPr>
        <sz val="9"/>
        <color indexed="8"/>
        <rFont val="宋体"/>
        <family val="3"/>
        <charset val="134"/>
      </rPr>
      <t>[(d2-d1)/2/L]</t>
    </r>
    <phoneticPr fontId="3" type="noConversion"/>
  </si>
  <si>
    <t>较小直径与较大直径之比</t>
    <phoneticPr fontId="3" type="noConversion"/>
  </si>
  <si>
    <t>β</t>
    <phoneticPr fontId="3" type="noConversion"/>
  </si>
  <si>
    <r>
      <t>2.2.3.</t>
    </r>
    <r>
      <rPr>
        <sz val="9"/>
        <color indexed="8"/>
        <rFont val="宋体"/>
        <family val="3"/>
        <charset val="134"/>
      </rPr>
      <t>2</t>
    </r>
    <phoneticPr fontId="3" type="noConversion"/>
  </si>
  <si>
    <t>渐扩管（相应于大管径的阻力系数）</t>
    <phoneticPr fontId="3" type="noConversion"/>
  </si>
  <si>
    <r>
      <t>ξ3</t>
    </r>
    <r>
      <rPr>
        <sz val="9"/>
        <color indexed="8"/>
        <rFont val="宋体"/>
        <family val="3"/>
        <charset val="134"/>
      </rPr>
      <t>2</t>
    </r>
    <phoneticPr fontId="3" type="noConversion"/>
  </si>
  <si>
    <r>
      <t>2.6sin</t>
    </r>
    <r>
      <rPr>
        <sz val="9"/>
        <color indexed="8"/>
        <rFont val="宋体"/>
        <family val="3"/>
        <charset val="134"/>
      </rPr>
      <t>θ*(1-β</t>
    </r>
    <r>
      <rPr>
        <vertAlign val="superscript"/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)</t>
    </r>
    <r>
      <rPr>
        <vertAlign val="superscript"/>
        <sz val="9"/>
        <color indexed="8"/>
        <rFont val="宋体"/>
        <family val="3"/>
        <charset val="134"/>
      </rPr>
      <t>2</t>
    </r>
    <r>
      <rPr>
        <sz val="9"/>
        <color indexed="8"/>
        <rFont val="宋体"/>
        <family val="3"/>
        <charset val="134"/>
      </rPr>
      <t>/β</t>
    </r>
    <r>
      <rPr>
        <vertAlign val="superscript"/>
        <sz val="9"/>
        <color indexed="8"/>
        <rFont val="宋体"/>
        <family val="3"/>
        <charset val="134"/>
      </rPr>
      <t>4</t>
    </r>
    <phoneticPr fontId="3" type="noConversion"/>
  </si>
  <si>
    <t>钢管模压大小头PN10，DN150X80，L=160</t>
    <phoneticPr fontId="3" type="noConversion"/>
  </si>
  <si>
    <t>2.2.4</t>
    <phoneticPr fontId="3" type="noConversion"/>
  </si>
  <si>
    <t>管道入口与出口阻力系数</t>
    <phoneticPr fontId="3" type="noConversion"/>
  </si>
  <si>
    <t>双曲线冷却塔时，去喷淋密度7，即可得到喷淋面积；</t>
    <phoneticPr fontId="3" type="noConversion"/>
  </si>
  <si>
    <r>
      <t>D</t>
    </r>
    <r>
      <rPr>
        <sz val="12"/>
        <rFont val="宋体"/>
        <family val="3"/>
        <charset val="134"/>
      </rPr>
      <t>n</t>
    </r>
    <phoneticPr fontId="3" type="noConversion"/>
  </si>
  <si>
    <r>
      <t>t</t>
    </r>
    <r>
      <rPr>
        <sz val="12"/>
        <rFont val="宋体"/>
        <family val="3"/>
        <charset val="134"/>
      </rPr>
      <t>/h</t>
    </r>
    <phoneticPr fontId="3" type="noConversion"/>
  </si>
  <si>
    <t>Pk</t>
    <phoneticPr fontId="3" type="noConversion"/>
  </si>
  <si>
    <t>凝汽器压力</t>
    <phoneticPr fontId="3" type="noConversion"/>
  </si>
  <si>
    <t>Hs</t>
    <phoneticPr fontId="3" type="noConversion"/>
  </si>
  <si>
    <t>kj/kg</t>
    <phoneticPr fontId="3" type="noConversion"/>
  </si>
  <si>
    <t>汽轮机排汽焓</t>
    <phoneticPr fontId="3" type="noConversion"/>
  </si>
  <si>
    <t>t1</t>
    <phoneticPr fontId="3" type="noConversion"/>
  </si>
  <si>
    <t>冷却水进口温度</t>
    <phoneticPr fontId="3" type="noConversion"/>
  </si>
  <si>
    <t>tbh</t>
    <phoneticPr fontId="3" type="noConversion"/>
  </si>
  <si>
    <t>饱和温度</t>
    <phoneticPr fontId="3" type="noConversion"/>
  </si>
  <si>
    <t>kpa</t>
    <phoneticPr fontId="3" type="noConversion"/>
  </si>
  <si>
    <t>t'</t>
    <phoneticPr fontId="3" type="noConversion"/>
  </si>
  <si>
    <t>过冷度</t>
    <phoneticPr fontId="3" type="noConversion"/>
  </si>
  <si>
    <r>
      <t>0</t>
    </r>
    <r>
      <rPr>
        <sz val="12"/>
        <rFont val="宋体"/>
        <family val="3"/>
        <charset val="134"/>
      </rPr>
      <t>~2</t>
    </r>
    <phoneticPr fontId="3" type="noConversion"/>
  </si>
  <si>
    <t>tc</t>
    <phoneticPr fontId="3" type="noConversion"/>
  </si>
  <si>
    <t>凝结水温度</t>
    <phoneticPr fontId="3" type="noConversion"/>
  </si>
  <si>
    <t>tbh-t'</t>
    <phoneticPr fontId="3" type="noConversion"/>
  </si>
  <si>
    <t>凝结水焓</t>
    <phoneticPr fontId="3" type="noConversion"/>
  </si>
  <si>
    <t>查询</t>
    <phoneticPr fontId="3" type="noConversion"/>
  </si>
  <si>
    <t>冷却管的洁净系数</t>
    <phoneticPr fontId="3" type="noConversion"/>
  </si>
  <si>
    <t>直流0.8~0.85，循环0.7~0.8</t>
    <phoneticPr fontId="3" type="noConversion"/>
  </si>
  <si>
    <t>冷却管材料和壁厚的修正系数</t>
    <phoneticPr fontId="3" type="noConversion"/>
  </si>
  <si>
    <t>X</t>
    <phoneticPr fontId="3" type="noConversion"/>
  </si>
  <si>
    <t>Vw</t>
    <phoneticPr fontId="3" type="noConversion"/>
  </si>
  <si>
    <t>冷却管内流速</t>
    <phoneticPr fontId="3" type="noConversion"/>
  </si>
  <si>
    <t>1.5~2.5</t>
    <phoneticPr fontId="3" type="noConversion"/>
  </si>
  <si>
    <t>d2</t>
    <phoneticPr fontId="3" type="noConversion"/>
  </si>
  <si>
    <t>冷却管内径</t>
    <phoneticPr fontId="3" type="noConversion"/>
  </si>
  <si>
    <t>冷却管规格25*1</t>
    <phoneticPr fontId="3" type="noConversion"/>
  </si>
  <si>
    <t>b</t>
    <phoneticPr fontId="3" type="noConversion"/>
  </si>
  <si>
    <t>凝汽器比蒸汽负荷修正系数</t>
    <phoneticPr fontId="3" type="noConversion"/>
  </si>
  <si>
    <t>取0.42</t>
    <phoneticPr fontId="3" type="noConversion"/>
  </si>
  <si>
    <t>φw</t>
    <phoneticPr fontId="3" type="noConversion"/>
  </si>
  <si>
    <t>冷却管内流速的修正系数</t>
    <phoneticPr fontId="3" type="noConversion"/>
  </si>
  <si>
    <t>φt</t>
    <phoneticPr fontId="3" type="noConversion"/>
  </si>
  <si>
    <t>冷却水进口温度修正系数</t>
  </si>
  <si>
    <t>计算</t>
    <phoneticPr fontId="3" type="noConversion"/>
  </si>
  <si>
    <t>φz</t>
    <phoneticPr fontId="3" type="noConversion"/>
  </si>
  <si>
    <t>冷却水流程数的修正系数</t>
  </si>
  <si>
    <t>冷却水流程数Z=2时，取1</t>
    <phoneticPr fontId="3" type="noConversion"/>
  </si>
  <si>
    <t>φ6</t>
    <phoneticPr fontId="3" type="noConversion"/>
  </si>
  <si>
    <t>考虑凝汽器蒸汽负荷变化的修正系数</t>
    <phoneticPr fontId="3" type="noConversion"/>
  </si>
  <si>
    <t>额定工况</t>
    <phoneticPr fontId="3" type="noConversion"/>
  </si>
  <si>
    <t>K</t>
    <phoneticPr fontId="3" type="noConversion"/>
  </si>
  <si>
    <t>总传热系数</t>
    <phoneticPr fontId="3" type="noConversion"/>
  </si>
  <si>
    <t>Q</t>
    <phoneticPr fontId="3" type="noConversion"/>
  </si>
  <si>
    <t>kw</t>
    <phoneticPr fontId="3" type="noConversion"/>
  </si>
  <si>
    <t>凝汽器热负荷</t>
    <phoneticPr fontId="3" type="noConversion"/>
  </si>
  <si>
    <t>凝汽量</t>
    <phoneticPr fontId="3" type="noConversion"/>
  </si>
  <si>
    <t>Dn*（hs-hc）</t>
    <phoneticPr fontId="3" type="noConversion"/>
  </si>
  <si>
    <t>hc</t>
    <phoneticPr fontId="3" type="noConversion"/>
  </si>
  <si>
    <t>循环倍率</t>
    <phoneticPr fontId="3" type="noConversion"/>
  </si>
  <si>
    <t>55~70，按地区选择</t>
    <phoneticPr fontId="3" type="noConversion"/>
  </si>
  <si>
    <t>循环水量</t>
    <phoneticPr fontId="3" type="noConversion"/>
  </si>
  <si>
    <t>Dw</t>
    <phoneticPr fontId="3" type="noConversion"/>
  </si>
  <si>
    <t>t/h</t>
    <phoneticPr fontId="3" type="noConversion"/>
  </si>
  <si>
    <t>计算</t>
    <phoneticPr fontId="3" type="noConversion"/>
  </si>
  <si>
    <t>△t</t>
    <phoneticPr fontId="3" type="noConversion"/>
  </si>
  <si>
    <t>℃</t>
    <phoneticPr fontId="3" type="noConversion"/>
  </si>
  <si>
    <t>Q/Dw*Cp</t>
    <phoneticPr fontId="3" type="noConversion"/>
  </si>
  <si>
    <t>冷却水温升 冷却水cp 取4.1868</t>
    <phoneticPr fontId="3" type="noConversion"/>
  </si>
  <si>
    <t>冷却水出口温度</t>
  </si>
  <si>
    <t>t2</t>
    <phoneticPr fontId="3" type="noConversion"/>
  </si>
  <si>
    <t>△tm</t>
    <phoneticPr fontId="3" type="noConversion"/>
  </si>
  <si>
    <t>对数平均温差</t>
    <phoneticPr fontId="3" type="noConversion"/>
  </si>
  <si>
    <t>A</t>
    <phoneticPr fontId="3" type="noConversion"/>
  </si>
  <si>
    <t>m2</t>
    <phoneticPr fontId="3" type="noConversion"/>
  </si>
  <si>
    <t>冷却面积</t>
    <phoneticPr fontId="3" type="noConversion"/>
  </si>
  <si>
    <t>计算指数 t1≤26.7时</t>
    <phoneticPr fontId="3" type="noConversion"/>
  </si>
  <si>
    <t>t1≤26.7时</t>
    <phoneticPr fontId="3" type="noConversion"/>
  </si>
  <si>
    <t>4、凝汽器计算（22.4*凝汽量）</t>
    <phoneticPr fontId="3" type="noConversion"/>
  </si>
  <si>
    <t xml:space="preserve">黄铜管为 ，铝黄铜管为 ，B5铜镍合金管为
 ，B30铜镍合金管为 ，不锈钢管为 
</t>
    <phoneticPr fontId="3" type="noConversion"/>
  </si>
  <si>
    <t>烟风流量（工况）</t>
    <phoneticPr fontId="3" type="noConversion"/>
  </si>
  <si>
    <t>空气温度</t>
    <phoneticPr fontId="3" type="noConversion"/>
  </si>
  <si>
    <t>注意锅炉厂是否含有储备系数</t>
    <phoneticPr fontId="3" type="noConversion"/>
  </si>
  <si>
    <t>5、水环真空泵</t>
    <phoneticPr fontId="3" type="noConversion"/>
  </si>
  <si>
    <t>输出</t>
    <phoneticPr fontId="3" type="noConversion"/>
  </si>
  <si>
    <t>函数计算</t>
    <phoneticPr fontId="88" type="noConversion"/>
  </si>
  <si>
    <t>输入（自定义、参数范围显示）</t>
    <phoneticPr fontId="88" type="noConversion"/>
  </si>
  <si>
    <t>输出结果</t>
    <phoneticPr fontId="88" type="noConversion"/>
  </si>
  <si>
    <t>固定值</t>
    <phoneticPr fontId="88" type="noConversion"/>
  </si>
  <si>
    <t>输入（自定义、参数值显示）</t>
    <phoneticPr fontId="88" type="noConversion"/>
  </si>
  <si>
    <t>输入（自定义）</t>
    <phoneticPr fontId="88" type="noConversion"/>
  </si>
  <si>
    <t>有没有公式</t>
    <phoneticPr fontId="88" type="noConversion"/>
  </si>
  <si>
    <t>输入（自定义）</t>
    <phoneticPr fontId="3" type="noConversion"/>
  </si>
  <si>
    <t>输入（自定义）</t>
    <phoneticPr fontId="3" type="noConversion"/>
  </si>
  <si>
    <t>输入（需求调查表）</t>
    <phoneticPr fontId="3" type="noConversion"/>
  </si>
  <si>
    <t>标准值</t>
    <phoneticPr fontId="3" type="noConversion"/>
  </si>
  <si>
    <t>锅炉本体计算输出值</t>
    <phoneticPr fontId="3" type="noConversion"/>
  </si>
  <si>
    <t>输入（自定义）</t>
    <phoneticPr fontId="3" type="noConversion"/>
  </si>
  <si>
    <t>输入（需求调查表）</t>
    <phoneticPr fontId="3" type="noConversion"/>
  </si>
  <si>
    <t>输入（自定义，参考值显示）</t>
    <phoneticPr fontId="3" type="noConversion"/>
  </si>
  <si>
    <t>输出（显示确定系数）</t>
    <phoneticPr fontId="3" type="noConversion"/>
  </si>
  <si>
    <t>1、循环水量计算</t>
    <phoneticPr fontId="3" type="noConversion"/>
  </si>
  <si>
    <t>《工业循环冷却水处理设计规范》GB50050-2007</t>
    <phoneticPr fontId="3" type="noConversion"/>
  </si>
  <si>
    <t>冬季</t>
    <phoneticPr fontId="3" type="noConversion"/>
  </si>
  <si>
    <t>夏季</t>
    <phoneticPr fontId="3" type="noConversion"/>
  </si>
  <si>
    <t>〔1〕</t>
    <phoneticPr fontId="3" type="noConversion"/>
  </si>
  <si>
    <t>乏汽流量</t>
    <phoneticPr fontId="3" type="noConversion"/>
  </si>
  <si>
    <t>t/h</t>
    <phoneticPr fontId="3" type="noConversion"/>
  </si>
  <si>
    <t>具体冷却样式参考热电联产手册</t>
    <phoneticPr fontId="3" type="noConversion"/>
  </si>
  <si>
    <t>1.05-1.1</t>
    <phoneticPr fontId="3" type="noConversion"/>
  </si>
  <si>
    <t>Q选定</t>
    <phoneticPr fontId="3" type="noConversion"/>
  </si>
  <si>
    <t>风吹损失</t>
    <phoneticPr fontId="3" type="noConversion"/>
  </si>
  <si>
    <t>1、锅炉占地</t>
    <phoneticPr fontId="3" type="noConversion"/>
  </si>
  <si>
    <t>Nm3/h</t>
    <phoneticPr fontId="3" type="noConversion"/>
  </si>
  <si>
    <t>温度</t>
    <phoneticPr fontId="3" type="noConversion"/>
  </si>
  <si>
    <t>流通面积</t>
    <phoneticPr fontId="3" type="noConversion"/>
  </si>
  <si>
    <t>㎡</t>
    <phoneticPr fontId="3" type="noConversion"/>
  </si>
  <si>
    <t>流通比</t>
    <phoneticPr fontId="3" type="noConversion"/>
  </si>
  <si>
    <t>截面积</t>
    <phoneticPr fontId="3" type="noConversion"/>
  </si>
  <si>
    <t>2、定期排污扩容器</t>
    <phoneticPr fontId="3" type="noConversion"/>
  </si>
  <si>
    <t>说明</t>
    <phoneticPr fontId="3" type="noConversion"/>
  </si>
  <si>
    <t>锅炉蒸发量</t>
    <phoneticPr fontId="3" type="noConversion"/>
  </si>
  <si>
    <t>D0</t>
    <phoneticPr fontId="3" type="noConversion"/>
  </si>
  <si>
    <t>锅炉本体抽取数据</t>
    <phoneticPr fontId="3" type="noConversion"/>
  </si>
  <si>
    <t>排放时间</t>
    <phoneticPr fontId="3" type="noConversion"/>
  </si>
  <si>
    <t>min</t>
    <phoneticPr fontId="3" type="noConversion"/>
  </si>
  <si>
    <t>一班一次，2-3次，一次0.5-1min</t>
    <phoneticPr fontId="3" type="noConversion"/>
  </si>
  <si>
    <t>输入，自定义，参考范围显示</t>
    <phoneticPr fontId="3" type="noConversion"/>
  </si>
  <si>
    <t>定期排污率</t>
    <phoneticPr fontId="3" type="noConversion"/>
  </si>
  <si>
    <t>0.1%-0.5%</t>
    <phoneticPr fontId="3" type="noConversion"/>
  </si>
  <si>
    <t>少排 勤排</t>
    <phoneticPr fontId="3" type="noConversion"/>
  </si>
  <si>
    <t>定期排污水量</t>
    <phoneticPr fontId="3" type="noConversion"/>
  </si>
  <si>
    <t>Dpb</t>
    <phoneticPr fontId="3" type="noConversion"/>
  </si>
  <si>
    <t>kg/h</t>
    <phoneticPr fontId="3" type="noConversion"/>
  </si>
  <si>
    <t>D0*1000*t*60*η</t>
    <phoneticPr fontId="3" type="noConversion"/>
  </si>
  <si>
    <t>汽包压力</t>
    <phoneticPr fontId="3" type="noConversion"/>
  </si>
  <si>
    <t>汽包压力下的饱和水焓</t>
    <phoneticPr fontId="3" type="noConversion"/>
  </si>
  <si>
    <r>
      <t>h</t>
    </r>
    <r>
      <rPr>
        <vertAlign val="subscript"/>
        <sz val="12"/>
        <rFont val="仿宋_GB2312"/>
        <family val="3"/>
        <charset val="134"/>
      </rPr>
      <t>d</t>
    </r>
    <phoneticPr fontId="3" type="noConversion"/>
  </si>
  <si>
    <t>函数计算</t>
    <phoneticPr fontId="3" type="noConversion"/>
  </si>
  <si>
    <t>排污扩容器工作压力</t>
    <phoneticPr fontId="3" type="noConversion"/>
  </si>
  <si>
    <t>扩容器压力选0.15MPa(a)/0.45</t>
    <phoneticPr fontId="3" type="noConversion"/>
  </si>
  <si>
    <t>输入，自定义，参考范围显示</t>
    <phoneticPr fontId="3" type="noConversion"/>
  </si>
  <si>
    <t>扩容器压力下饱和水焓</t>
    <phoneticPr fontId="3" type="noConversion"/>
  </si>
  <si>
    <t>hs</t>
    <phoneticPr fontId="3" type="noConversion"/>
  </si>
  <si>
    <t>kj/kg</t>
    <phoneticPr fontId="3" type="noConversion"/>
  </si>
  <si>
    <t>〔9〕</t>
    <phoneticPr fontId="88" type="noConversion"/>
  </si>
  <si>
    <t>扩容器压力下汽化潜热</t>
    <phoneticPr fontId="3" type="noConversion"/>
  </si>
  <si>
    <t>r</t>
    <phoneticPr fontId="3" type="noConversion"/>
  </si>
  <si>
    <t>查表（饱和汽焓-饱和水焓）</t>
    <phoneticPr fontId="3" type="noConversion"/>
  </si>
  <si>
    <t>函数计算</t>
    <phoneticPr fontId="3" type="noConversion"/>
  </si>
  <si>
    <t>扩容器单位容积润许极限强度</t>
    <phoneticPr fontId="3" type="noConversion"/>
  </si>
  <si>
    <t>m3/（m3/kg）</t>
    <phoneticPr fontId="3" type="noConversion"/>
  </si>
  <si>
    <t>输入，自定义，参考值显示</t>
    <phoneticPr fontId="3" type="noConversion"/>
  </si>
  <si>
    <t>富裕系数</t>
  </si>
  <si>
    <t>1.3~1.5的富裕系数</t>
    <phoneticPr fontId="3" type="noConversion"/>
  </si>
  <si>
    <t>排污扩容容积</t>
    <phoneticPr fontId="3" type="noConversion"/>
  </si>
  <si>
    <t>Vv</t>
    <phoneticPr fontId="3" type="noConversion"/>
  </si>
  <si>
    <t>m³</t>
    <phoneticPr fontId="3" type="noConversion"/>
  </si>
  <si>
    <t>考虑紧急放水后：DP-7.5</t>
    <phoneticPr fontId="3" type="noConversion"/>
  </si>
  <si>
    <t>输入，自定义</t>
    <phoneticPr fontId="3" type="noConversion"/>
  </si>
  <si>
    <t>3、连续排污扩容器</t>
    <phoneticPr fontId="3" type="noConversion"/>
  </si>
  <si>
    <t>连续排污率</t>
    <phoneticPr fontId="3" type="noConversion"/>
  </si>
  <si>
    <t>1%-2%</t>
    <phoneticPr fontId="3" type="noConversion"/>
  </si>
  <si>
    <t>连续排污水量</t>
    <phoneticPr fontId="3" type="noConversion"/>
  </si>
  <si>
    <t>D0*1000*η</t>
    <phoneticPr fontId="3" type="noConversion"/>
  </si>
  <si>
    <t>排污扩容器工作压力</t>
    <phoneticPr fontId="3" type="noConversion"/>
  </si>
  <si>
    <t>扩容器压力选0.15MPa(a)/0.45/1.0</t>
    <phoneticPr fontId="3" type="noConversion"/>
  </si>
  <si>
    <t>扩容器压力下饱和水焓</t>
    <phoneticPr fontId="3" type="noConversion"/>
  </si>
  <si>
    <t>hs</t>
    <phoneticPr fontId="3" type="noConversion"/>
  </si>
  <si>
    <t>扩容器压力下蒸汽比容</t>
    <phoneticPr fontId="3" type="noConversion"/>
  </si>
  <si>
    <t>υ</t>
  </si>
  <si>
    <t>m3/kg</t>
    <phoneticPr fontId="3" type="noConversion"/>
  </si>
  <si>
    <t>查表</t>
    <phoneticPr fontId="3" type="noConversion"/>
  </si>
  <si>
    <t>扩容器压力下汽化潜热</t>
    <phoneticPr fontId="3" type="noConversion"/>
  </si>
  <si>
    <t>查表（饱和汽焓-饱和水焓）</t>
    <phoneticPr fontId="3" type="noConversion"/>
  </si>
  <si>
    <t>扩容器蒸汽干度</t>
    <phoneticPr fontId="3" type="noConversion"/>
  </si>
  <si>
    <t>0.97~0.98</t>
    <phoneticPr fontId="3" type="noConversion"/>
  </si>
  <si>
    <t>输入，自定义,参考值显示</t>
    <phoneticPr fontId="3" type="noConversion"/>
  </si>
  <si>
    <t>排污水汽化量</t>
    <phoneticPr fontId="3" type="noConversion"/>
  </si>
  <si>
    <t>Df</t>
    <phoneticPr fontId="3" type="noConversion"/>
  </si>
  <si>
    <t>(hd*η-hs)/xr</t>
    <phoneticPr fontId="3" type="noConversion"/>
  </si>
  <si>
    <t>富裕系数</t>
    <phoneticPr fontId="88" type="noConversion"/>
  </si>
  <si>
    <t>1.2的富裕系数</t>
  </si>
  <si>
    <t>排污扩容汽容积</t>
    <phoneticPr fontId="3" type="noConversion"/>
  </si>
  <si>
    <t>水容积为汽容积的1/4</t>
    <phoneticPr fontId="3" type="noConversion"/>
  </si>
  <si>
    <t>DP-3.5/DP-1.5</t>
    <phoneticPr fontId="3" type="noConversion"/>
  </si>
  <si>
    <t>4、磷酸盐加药装置---PH控制在9~11</t>
    <phoneticPr fontId="3" type="noConversion"/>
  </si>
  <si>
    <t>锅炉水系统容积</t>
    <phoneticPr fontId="3" type="noConversion"/>
  </si>
  <si>
    <t>输入</t>
    <phoneticPr fontId="3" type="noConversion"/>
  </si>
  <si>
    <t>锅炉本体抽取数据</t>
    <phoneticPr fontId="3" type="noConversion"/>
  </si>
  <si>
    <t>应维持的磷酸根含量</t>
    <phoneticPr fontId="3" type="noConversion"/>
  </si>
  <si>
    <r>
      <t>PO</t>
    </r>
    <r>
      <rPr>
        <vertAlign val="subscript"/>
        <sz val="12"/>
        <rFont val="仿宋_GB2312"/>
        <family val="3"/>
        <charset val="134"/>
      </rPr>
      <t>4</t>
    </r>
    <r>
      <rPr>
        <vertAlign val="superscript"/>
        <sz val="12"/>
        <rFont val="仿宋_GB2312"/>
        <family val="3"/>
        <charset val="134"/>
      </rPr>
      <t>3-</t>
    </r>
    <phoneticPr fontId="3" type="noConversion"/>
  </si>
  <si>
    <t>mg/L</t>
    <phoneticPr fontId="3" type="noConversion"/>
  </si>
  <si>
    <t>10~30</t>
    <phoneticPr fontId="3" type="noConversion"/>
  </si>
  <si>
    <t>给水硬度（原水）</t>
    <phoneticPr fontId="3" type="noConversion"/>
  </si>
  <si>
    <t>H</t>
    <phoneticPr fontId="3" type="noConversion"/>
  </si>
  <si>
    <t>mmol/L</t>
    <phoneticPr fontId="3" type="noConversion"/>
  </si>
  <si>
    <t>7.0~9.5</t>
    <phoneticPr fontId="3" type="noConversion"/>
  </si>
  <si>
    <t>纯度</t>
    <phoneticPr fontId="3" type="noConversion"/>
  </si>
  <si>
    <t>ε</t>
    <phoneticPr fontId="3" type="noConversion"/>
  </si>
  <si>
    <t>m</t>
    <phoneticPr fontId="3" type="noConversion"/>
  </si>
  <si>
    <t>0.92~0.98</t>
    <phoneticPr fontId="3" type="noConversion"/>
  </si>
  <si>
    <t>输入，自定义，参考范围显示</t>
    <phoneticPr fontId="3" type="noConversion"/>
  </si>
  <si>
    <t>锅炉启动时加药量</t>
    <phoneticPr fontId="3" type="noConversion"/>
  </si>
  <si>
    <r>
      <t>q</t>
    </r>
    <r>
      <rPr>
        <vertAlign val="subscript"/>
        <sz val="12"/>
        <rFont val="仿宋_GB2312"/>
        <family val="3"/>
        <charset val="134"/>
      </rPr>
      <t>m</t>
    </r>
    <phoneticPr fontId="3" type="noConversion"/>
  </si>
  <si>
    <t>g</t>
    <phoneticPr fontId="3" type="noConversion"/>
  </si>
  <si>
    <t>V(PO4+28.5*H)/250ε</t>
    <phoneticPr fontId="3" type="noConversion"/>
  </si>
  <si>
    <t>输出</t>
    <phoneticPr fontId="3" type="noConversion"/>
  </si>
  <si>
    <t>锅炉给水量</t>
    <phoneticPr fontId="3" type="noConversion"/>
  </si>
  <si>
    <r>
      <t>q</t>
    </r>
    <r>
      <rPr>
        <vertAlign val="subscript"/>
        <sz val="12"/>
        <rFont val="仿宋_GB2312"/>
        <family val="3"/>
        <charset val="134"/>
      </rPr>
      <t>fm</t>
    </r>
    <phoneticPr fontId="3" type="noConversion"/>
  </si>
  <si>
    <t>t/h</t>
    <phoneticPr fontId="3" type="noConversion"/>
  </si>
  <si>
    <t>输入</t>
    <phoneticPr fontId="3" type="noConversion"/>
  </si>
  <si>
    <t>锅炉本体抽取数据</t>
    <phoneticPr fontId="3" type="noConversion"/>
  </si>
  <si>
    <t>锅炉排污量</t>
    <phoneticPr fontId="3" type="noConversion"/>
  </si>
  <si>
    <r>
      <t>q</t>
    </r>
    <r>
      <rPr>
        <vertAlign val="subscript"/>
        <sz val="12"/>
        <rFont val="仿宋_GB2312"/>
        <family val="3"/>
        <charset val="134"/>
      </rPr>
      <t>bl</t>
    </r>
    <phoneticPr fontId="3" type="noConversion"/>
  </si>
  <si>
    <t>运行时加药量</t>
    <phoneticPr fontId="3" type="noConversion"/>
  </si>
  <si>
    <t>g/h</t>
    <phoneticPr fontId="3" type="noConversion"/>
  </si>
  <si>
    <t>计算</t>
    <phoneticPr fontId="3" type="noConversion"/>
  </si>
  <si>
    <t>磷酸钠浓度</t>
    <phoneticPr fontId="3" type="noConversion"/>
  </si>
  <si>
    <t>C</t>
    <phoneticPr fontId="3" type="noConversion"/>
  </si>
  <si>
    <t>/</t>
    <phoneticPr fontId="3" type="noConversion"/>
  </si>
  <si>
    <t>1%~5%</t>
    <phoneticPr fontId="3" type="noConversion"/>
  </si>
  <si>
    <t>在C浓度下的磷酸三钠密度</t>
    <phoneticPr fontId="3" type="noConversion"/>
  </si>
  <si>
    <t>ρ</t>
    <phoneticPr fontId="3" type="noConversion"/>
  </si>
  <si>
    <t>g/cm3</t>
    <phoneticPr fontId="3" type="noConversion"/>
  </si>
  <si>
    <t>见表</t>
    <phoneticPr fontId="3" type="noConversion"/>
  </si>
  <si>
    <t>运行时汽包内加入的溶液量</t>
    <phoneticPr fontId="3" type="noConversion"/>
  </si>
  <si>
    <r>
      <t>q</t>
    </r>
    <r>
      <rPr>
        <vertAlign val="subscript"/>
        <sz val="12"/>
        <rFont val="仿宋_GB2312"/>
        <family val="3"/>
        <charset val="134"/>
      </rPr>
      <t>v</t>
    </r>
    <phoneticPr fontId="3" type="noConversion"/>
  </si>
  <si>
    <t>m3/h</t>
    <phoneticPr fontId="3" type="noConversion"/>
  </si>
  <si>
    <t>qm/10Cρ</t>
    <phoneticPr fontId="3" type="noConversion"/>
  </si>
  <si>
    <t>5、给水泵</t>
    <phoneticPr fontId="3" type="noConversion"/>
  </si>
  <si>
    <t>锅炉设计使用压力</t>
    <phoneticPr fontId="3" type="noConversion"/>
  </si>
  <si>
    <t>P</t>
    <phoneticPr fontId="3" type="noConversion"/>
  </si>
  <si>
    <t>Mpa</t>
    <phoneticPr fontId="3" type="noConversion"/>
  </si>
  <si>
    <t>数据输入</t>
    <phoneticPr fontId="3" type="noConversion"/>
  </si>
  <si>
    <t>省煤器入口进水压力</t>
    <phoneticPr fontId="3" type="noConversion"/>
  </si>
  <si>
    <t>P1</t>
    <phoneticPr fontId="3" type="noConversion"/>
  </si>
  <si>
    <t>当工作压力P≤0.8MPa时，取P+0.05；当0.8&lt;P≤5.9MPa时，取1.06P</t>
    <phoneticPr fontId="3" type="noConversion"/>
  </si>
  <si>
    <t>除氧器工作压力</t>
    <phoneticPr fontId="3" type="noConversion"/>
  </si>
  <si>
    <t>Pd</t>
    <phoneticPr fontId="3" type="noConversion"/>
  </si>
  <si>
    <t>给水管阻力（以压头计）</t>
    <phoneticPr fontId="3" type="noConversion"/>
  </si>
  <si>
    <r>
      <t>ΔP</t>
    </r>
    <r>
      <rPr>
        <vertAlign val="subscript"/>
        <sz val="12"/>
        <rFont val="仿宋_GB2312"/>
        <family val="3"/>
        <charset val="134"/>
      </rPr>
      <t>fw</t>
    </r>
    <phoneticPr fontId="3" type="noConversion"/>
  </si>
  <si>
    <t>计算--许可流速2~3m/s</t>
    <phoneticPr fontId="3" type="noConversion"/>
  </si>
  <si>
    <t>进水管阻力（以压头计）</t>
    <phoneticPr fontId="3" type="noConversion"/>
  </si>
  <si>
    <r>
      <t>ΔP</t>
    </r>
    <r>
      <rPr>
        <vertAlign val="subscript"/>
        <sz val="12"/>
        <rFont val="仿宋_GB2312"/>
        <family val="3"/>
        <charset val="134"/>
      </rPr>
      <t>in</t>
    </r>
    <phoneticPr fontId="3" type="noConversion"/>
  </si>
  <si>
    <t>计算--许可流速0.5~1m/s</t>
    <phoneticPr fontId="3" type="noConversion"/>
  </si>
  <si>
    <t>水泵中心至汽包正常水位的几何高度差</t>
    <phoneticPr fontId="3" type="noConversion"/>
  </si>
  <si>
    <t>Hy</t>
    <phoneticPr fontId="3" type="noConversion"/>
  </si>
  <si>
    <t>输入，自定义</t>
    <phoneticPr fontId="3" type="noConversion"/>
  </si>
  <si>
    <t>除氧器最低水位至水泵中心几何高度差（给水泵进口静水头）</t>
    <phoneticPr fontId="3" type="noConversion"/>
  </si>
  <si>
    <r>
      <t>H</t>
    </r>
    <r>
      <rPr>
        <vertAlign val="subscript"/>
        <sz val="12"/>
        <rFont val="仿宋_GB2312"/>
        <family val="3"/>
        <charset val="134"/>
      </rPr>
      <t>st</t>
    </r>
    <phoneticPr fontId="3" type="noConversion"/>
  </si>
  <si>
    <t>给水泵总扬程</t>
    <phoneticPr fontId="3" type="noConversion"/>
  </si>
  <si>
    <r>
      <t>H</t>
    </r>
    <r>
      <rPr>
        <vertAlign val="subscript"/>
        <sz val="12"/>
        <rFont val="仿宋_GB2312"/>
        <family val="3"/>
        <charset val="134"/>
      </rPr>
      <t>sw</t>
    </r>
    <phoneticPr fontId="3" type="noConversion"/>
  </si>
  <si>
    <r>
      <t>（P1-Pd）*102+1.2*(ΔP</t>
    </r>
    <r>
      <rPr>
        <vertAlign val="subscript"/>
        <sz val="10"/>
        <rFont val="宋体"/>
        <family val="3"/>
        <charset val="134"/>
      </rPr>
      <t>fw</t>
    </r>
    <r>
      <rPr>
        <sz val="10"/>
        <rFont val="宋体"/>
        <family val="3"/>
        <charset val="134"/>
      </rPr>
      <t>+ΔP</t>
    </r>
    <r>
      <rPr>
        <vertAlign val="subscript"/>
        <sz val="10"/>
        <rFont val="宋体"/>
        <family val="3"/>
        <charset val="134"/>
      </rPr>
      <t>in</t>
    </r>
    <r>
      <rPr>
        <sz val="10"/>
        <rFont val="宋体"/>
        <family val="3"/>
        <charset val="134"/>
      </rPr>
      <t>)+Hy-Hst</t>
    </r>
    <phoneticPr fontId="3" type="noConversion"/>
  </si>
  <si>
    <t>流量</t>
    <phoneticPr fontId="3" type="noConversion"/>
  </si>
  <si>
    <t>Q</t>
    <phoneticPr fontId="3" type="noConversion"/>
  </si>
  <si>
    <t>已知</t>
    <phoneticPr fontId="3" type="noConversion"/>
  </si>
  <si>
    <t>泵效率</t>
    <phoneticPr fontId="3" type="noConversion"/>
  </si>
  <si>
    <t>η</t>
    <phoneticPr fontId="3" type="noConversion"/>
  </si>
  <si>
    <t>0.6~0.8</t>
    <phoneticPr fontId="3" type="noConversion"/>
  </si>
  <si>
    <t>机械传动效率</t>
    <phoneticPr fontId="3" type="noConversion"/>
  </si>
  <si>
    <t>η2</t>
    <phoneticPr fontId="3" type="noConversion"/>
  </si>
  <si>
    <t>直连1.0，联轴器0.98，皮带0.95</t>
    <phoneticPr fontId="3" type="noConversion"/>
  </si>
  <si>
    <t>电动机效率</t>
    <phoneticPr fontId="3" type="noConversion"/>
  </si>
  <si>
    <t>η3</t>
    <phoneticPr fontId="3" type="noConversion"/>
  </si>
  <si>
    <t>通常取0.9</t>
    <phoneticPr fontId="3" type="noConversion"/>
  </si>
  <si>
    <t>电动机备用系数</t>
    <phoneticPr fontId="3" type="noConversion"/>
  </si>
  <si>
    <t>β</t>
    <phoneticPr fontId="3" type="noConversion"/>
  </si>
  <si>
    <t>查表选取</t>
    <phoneticPr fontId="3" type="noConversion"/>
  </si>
  <si>
    <t>配套电机功率</t>
    <phoneticPr fontId="3" type="noConversion"/>
  </si>
  <si>
    <t>kw</t>
    <phoneticPr fontId="3" type="noConversion"/>
  </si>
  <si>
    <r>
      <t>ρβgHq</t>
    </r>
    <r>
      <rPr>
        <vertAlign val="subscript"/>
        <sz val="10"/>
        <rFont val="宋体"/>
        <family val="3"/>
        <charset val="134"/>
      </rPr>
      <t>v</t>
    </r>
    <r>
      <rPr>
        <sz val="10"/>
        <rFont val="宋体"/>
        <family val="3"/>
        <charset val="134"/>
      </rPr>
      <t>/(3600*1000*η*η</t>
    </r>
    <r>
      <rPr>
        <vertAlign val="sub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*η</t>
    </r>
    <r>
      <rPr>
        <vertAlign val="subscript"/>
        <sz val="10"/>
        <rFont val="宋体"/>
        <family val="3"/>
        <charset val="134"/>
      </rPr>
      <t>3</t>
    </r>
    <r>
      <rPr>
        <sz val="10"/>
        <rFont val="宋体"/>
        <family val="3"/>
        <charset val="134"/>
      </rPr>
      <t>)</t>
    </r>
    <phoneticPr fontId="3" type="noConversion"/>
  </si>
  <si>
    <t>给水泵选用规格</t>
    <phoneticPr fontId="3" type="noConversion"/>
  </si>
  <si>
    <t>6、锅炉补给水处理能力</t>
    <phoneticPr fontId="3" type="noConversion"/>
  </si>
  <si>
    <t>锅炉蒸发量</t>
    <phoneticPr fontId="3" type="noConversion"/>
  </si>
  <si>
    <t>D0</t>
    <phoneticPr fontId="3" type="noConversion"/>
  </si>
  <si>
    <t>补汽量</t>
    <phoneticPr fontId="3" type="noConversion"/>
  </si>
  <si>
    <t>D0''</t>
    <phoneticPr fontId="3" type="noConversion"/>
  </si>
  <si>
    <t>若无取0</t>
    <phoneticPr fontId="3" type="noConversion"/>
  </si>
  <si>
    <t>厂内汽水循环损失</t>
    <phoneticPr fontId="3" type="noConversion"/>
  </si>
  <si>
    <t>D1</t>
  </si>
  <si>
    <t>排污损失</t>
    <phoneticPr fontId="3" type="noConversion"/>
  </si>
  <si>
    <t>D2</t>
  </si>
  <si>
    <t>凝结水量</t>
    <phoneticPr fontId="3" type="noConversion"/>
  </si>
  <si>
    <t>D0'</t>
    <phoneticPr fontId="3" type="noConversion"/>
  </si>
  <si>
    <t>汽轮机计算页抽取数据</t>
    <phoneticPr fontId="3" type="noConversion"/>
  </si>
  <si>
    <t>换热凝结水损失</t>
    <phoneticPr fontId="3" type="noConversion"/>
  </si>
  <si>
    <t>D1'</t>
    <phoneticPr fontId="3" type="noConversion"/>
  </si>
  <si>
    <t>锅炉正常补水量</t>
    <phoneticPr fontId="3" type="noConversion"/>
  </si>
  <si>
    <t>D1s</t>
    <phoneticPr fontId="3" type="noConversion"/>
  </si>
  <si>
    <t>水处理系统正常补水量</t>
    <phoneticPr fontId="3" type="noConversion"/>
  </si>
  <si>
    <t>D4</t>
  </si>
  <si>
    <t>（1+r）*（T+t）*（D1s/T）</t>
    <phoneticPr fontId="3" type="noConversion"/>
  </si>
  <si>
    <t>删除</t>
    <phoneticPr fontId="88" type="noConversion"/>
  </si>
  <si>
    <t>r</t>
    <phoneticPr fontId="3" type="noConversion"/>
  </si>
  <si>
    <t>除盐设备自用水率</t>
    <phoneticPr fontId="3" type="noConversion"/>
  </si>
  <si>
    <t>T</t>
    <phoneticPr fontId="3" type="noConversion"/>
  </si>
  <si>
    <t>h</t>
    <phoneticPr fontId="3" type="noConversion"/>
  </si>
  <si>
    <t>一级除盐设备工作周期</t>
    <phoneticPr fontId="3" type="noConversion"/>
  </si>
  <si>
    <t>t</t>
    <phoneticPr fontId="3" type="noConversion"/>
  </si>
  <si>
    <t>设备再生时间</t>
    <phoneticPr fontId="3" type="noConversion"/>
  </si>
  <si>
    <t>启动或事故增加损失</t>
    <phoneticPr fontId="3" type="noConversion"/>
  </si>
  <si>
    <t>Dx</t>
    <phoneticPr fontId="3" type="noConversion"/>
  </si>
  <si>
    <t>锅炉最大补水量</t>
    <phoneticPr fontId="3" type="noConversion"/>
  </si>
  <si>
    <t>Dbu</t>
    <phoneticPr fontId="3" type="noConversion"/>
  </si>
  <si>
    <t>水处理设备全部出力</t>
    <phoneticPr fontId="3" type="noConversion"/>
  </si>
  <si>
    <t>Q1</t>
    <phoneticPr fontId="3" type="noConversion"/>
  </si>
  <si>
    <t>选取水处理设备出力</t>
    <phoneticPr fontId="3" type="noConversion"/>
  </si>
  <si>
    <t>Q1’</t>
    <phoneticPr fontId="3" type="noConversion"/>
  </si>
  <si>
    <t>2×20</t>
    <phoneticPr fontId="3" type="noConversion"/>
  </si>
  <si>
    <t>7、除氧水箱/凝结水箱----共用</t>
    <phoneticPr fontId="3" type="noConversion"/>
  </si>
  <si>
    <t>储水时间</t>
    <phoneticPr fontId="3" type="noConversion"/>
  </si>
  <si>
    <t>min</t>
    <phoneticPr fontId="3" type="noConversion"/>
  </si>
  <si>
    <t>130t/h以下20min；130t/h以上10~15min</t>
    <phoneticPr fontId="3" type="noConversion"/>
  </si>
  <si>
    <t>容积</t>
    <phoneticPr fontId="3" type="noConversion"/>
  </si>
  <si>
    <t>V</t>
    <phoneticPr fontId="3" type="noConversion"/>
  </si>
  <si>
    <t>m3</t>
    <phoneticPr fontId="3" type="noConversion"/>
  </si>
  <si>
    <t>尺寸</t>
    <phoneticPr fontId="3" type="noConversion"/>
  </si>
  <si>
    <t>L</t>
    <phoneticPr fontId="3" type="noConversion"/>
  </si>
  <si>
    <t>长</t>
    <phoneticPr fontId="3" type="noConversion"/>
  </si>
  <si>
    <t>D</t>
    <phoneticPr fontId="3" type="noConversion"/>
  </si>
  <si>
    <t>直径</t>
    <phoneticPr fontId="3" type="noConversion"/>
  </si>
  <si>
    <t>7、除氧器安装高度核算</t>
    <phoneticPr fontId="3" type="noConversion"/>
  </si>
  <si>
    <t>最大给水量</t>
    <phoneticPr fontId="3" type="noConversion"/>
  </si>
  <si>
    <t>热力除氧压力</t>
    <phoneticPr fontId="3" type="noConversion"/>
  </si>
  <si>
    <t>即液面压力</t>
    <phoneticPr fontId="3" type="noConversion"/>
  </si>
  <si>
    <t>当地大气压</t>
    <phoneticPr fontId="3" type="noConversion"/>
  </si>
  <si>
    <t>P0</t>
    <phoneticPr fontId="3" type="noConversion"/>
  </si>
  <si>
    <t>pa</t>
    <phoneticPr fontId="3" type="noConversion"/>
  </si>
  <si>
    <t>与海拔有关</t>
    <phoneticPr fontId="3" type="noConversion"/>
  </si>
  <si>
    <t>当地大气压对应下的密度</t>
    <phoneticPr fontId="3" type="noConversion"/>
  </si>
  <si>
    <t>kg/m3</t>
    <phoneticPr fontId="3" type="noConversion"/>
  </si>
  <si>
    <t>查询</t>
    <phoneticPr fontId="3" type="noConversion"/>
  </si>
  <si>
    <t>设计流量</t>
    <phoneticPr fontId="3" type="noConversion"/>
  </si>
  <si>
    <t>Dmax</t>
    <phoneticPr fontId="3" type="noConversion"/>
  </si>
  <si>
    <t>t/h</t>
    <phoneticPr fontId="3" type="noConversion"/>
  </si>
  <si>
    <t>D0*ρ/ρ'</t>
    <phoneticPr fontId="3" type="noConversion"/>
  </si>
  <si>
    <t>泵必需汽蚀余量</t>
    <phoneticPr fontId="3" type="noConversion"/>
  </si>
  <si>
    <t>NPSHr</t>
    <phoneticPr fontId="3" type="noConversion"/>
  </si>
  <si>
    <t>m</t>
    <phoneticPr fontId="3" type="noConversion"/>
  </si>
  <si>
    <t>估算或样本查询</t>
    <phoneticPr fontId="3" type="noConversion"/>
  </si>
  <si>
    <t>吸入管路的总阻力</t>
    <phoneticPr fontId="3" type="noConversion"/>
  </si>
  <si>
    <t>H’</t>
    <phoneticPr fontId="3" type="noConversion"/>
  </si>
  <si>
    <t>估算</t>
    <phoneticPr fontId="3" type="noConversion"/>
  </si>
  <si>
    <t>泵入口流速</t>
    <phoneticPr fontId="3" type="noConversion"/>
  </si>
  <si>
    <t>V</t>
    <phoneticPr fontId="3" type="noConversion"/>
  </si>
  <si>
    <t>m/s</t>
    <phoneticPr fontId="3" type="noConversion"/>
  </si>
  <si>
    <t>一般0.5~2</t>
    <phoneticPr fontId="3" type="noConversion"/>
  </si>
  <si>
    <t>附加高度</t>
    <phoneticPr fontId="3" type="noConversion"/>
  </si>
  <si>
    <t>一般0.3~0.5</t>
    <phoneticPr fontId="3" type="noConversion"/>
  </si>
  <si>
    <t>泵安装高度</t>
    <phoneticPr fontId="3" type="noConversion"/>
  </si>
  <si>
    <t>除氧器最低压面距离泵入口中心线距离</t>
    <phoneticPr fontId="3" type="noConversion"/>
  </si>
  <si>
    <t>8、减温减压器---已知减温前、后参数求减温水量及减温后量</t>
    <phoneticPr fontId="3" type="noConversion"/>
  </si>
  <si>
    <t>新蒸汽              温度</t>
    <phoneticPr fontId="3" type="noConversion"/>
  </si>
  <si>
    <t>t0</t>
    <phoneticPr fontId="3" type="noConversion"/>
  </si>
  <si>
    <t>℃</t>
    <phoneticPr fontId="3" type="noConversion"/>
  </si>
  <si>
    <t>给定</t>
    <phoneticPr fontId="3" type="noConversion"/>
  </si>
  <si>
    <t>压力</t>
    <phoneticPr fontId="3" type="noConversion"/>
  </si>
  <si>
    <t>P0</t>
    <phoneticPr fontId="3" type="noConversion"/>
  </si>
  <si>
    <t>MPa</t>
    <phoneticPr fontId="3" type="noConversion"/>
  </si>
  <si>
    <t>焓</t>
    <phoneticPr fontId="3" type="noConversion"/>
  </si>
  <si>
    <t>h0</t>
    <phoneticPr fontId="3" type="noConversion"/>
  </si>
  <si>
    <t>查询</t>
    <phoneticPr fontId="3" type="noConversion"/>
  </si>
  <si>
    <t>流量</t>
    <phoneticPr fontId="3" type="noConversion"/>
  </si>
  <si>
    <t>q0</t>
    <phoneticPr fontId="3" type="noConversion"/>
  </si>
  <si>
    <t>减温水                温度</t>
    <phoneticPr fontId="3" type="noConversion"/>
  </si>
  <si>
    <t>t1</t>
    <phoneticPr fontId="3" type="noConversion"/>
  </si>
  <si>
    <t>P1</t>
    <phoneticPr fontId="3" type="noConversion"/>
  </si>
  <si>
    <t>减温减压器出口压力+1.47MPA</t>
    <phoneticPr fontId="3" type="noConversion"/>
  </si>
  <si>
    <t>h1</t>
    <phoneticPr fontId="3" type="noConversion"/>
  </si>
  <si>
    <t>q1</t>
    <phoneticPr fontId="3" type="noConversion"/>
  </si>
  <si>
    <t>计算值</t>
    <phoneticPr fontId="3" type="noConversion"/>
  </si>
  <si>
    <t>减温后蒸汽              温度</t>
    <phoneticPr fontId="3" type="noConversion"/>
  </si>
  <si>
    <t>t2</t>
    <phoneticPr fontId="3" type="noConversion"/>
  </si>
  <si>
    <t>P2</t>
    <phoneticPr fontId="3" type="noConversion"/>
  </si>
  <si>
    <t>h2</t>
    <phoneticPr fontId="3" type="noConversion"/>
  </si>
  <si>
    <t>h2‘</t>
    <phoneticPr fontId="3" type="noConversion"/>
  </si>
  <si>
    <t>饱和水焓值</t>
    <phoneticPr fontId="3" type="noConversion"/>
  </si>
  <si>
    <t>减温水中未蒸发部分所占份额</t>
    <phoneticPr fontId="3" type="noConversion"/>
  </si>
  <si>
    <t>t</t>
    <phoneticPr fontId="3" type="noConversion"/>
  </si>
  <si>
    <t>0.3~0.35</t>
    <phoneticPr fontId="3" type="noConversion"/>
  </si>
  <si>
    <t>q2</t>
    <phoneticPr fontId="3" type="noConversion"/>
  </si>
  <si>
    <t>q0+q1*（1-t）</t>
    <phoneticPr fontId="3" type="noConversion"/>
  </si>
  <si>
    <t>9、蓄热器---单位水容积的蓄热量gs、蓄热器容积计算、质量蒸发强度R2</t>
    <phoneticPr fontId="3" type="noConversion"/>
  </si>
  <si>
    <t>充热压力</t>
    <phoneticPr fontId="3" type="noConversion"/>
  </si>
  <si>
    <t>MPa</t>
    <phoneticPr fontId="3" type="noConversion"/>
  </si>
  <si>
    <t>给定</t>
    <phoneticPr fontId="3" type="noConversion"/>
  </si>
  <si>
    <t>即：锅炉额定压力减去蓄热器和锅炉间管道压降</t>
    <phoneticPr fontId="3" type="noConversion"/>
  </si>
  <si>
    <t>放热压力</t>
    <phoneticPr fontId="3" type="noConversion"/>
  </si>
  <si>
    <t>P2</t>
    <phoneticPr fontId="3" type="noConversion"/>
  </si>
  <si>
    <t>即：汽包压力加蓄热器和汽包间管道压降</t>
    <phoneticPr fontId="3" type="noConversion"/>
  </si>
  <si>
    <t>充热压力下的饱和水焓</t>
    <phoneticPr fontId="3" type="noConversion"/>
  </si>
  <si>
    <t>h1‘</t>
    <phoneticPr fontId="3" type="noConversion"/>
  </si>
  <si>
    <t>kj/kg</t>
    <phoneticPr fontId="3" type="noConversion"/>
  </si>
  <si>
    <t>即：蓄热器安装于锅炉和汽包之间</t>
    <phoneticPr fontId="3" type="noConversion"/>
  </si>
  <si>
    <t>放热压力下的饱和水焓</t>
    <phoneticPr fontId="3" type="noConversion"/>
  </si>
  <si>
    <t>h2‘</t>
    <phoneticPr fontId="3" type="noConversion"/>
  </si>
  <si>
    <t>充热压力下的饱和汽焓</t>
    <phoneticPr fontId="3" type="noConversion"/>
  </si>
  <si>
    <t>h1”</t>
    <phoneticPr fontId="3" type="noConversion"/>
  </si>
  <si>
    <t>放热压力下的饱和汽焓</t>
    <phoneticPr fontId="3" type="noConversion"/>
  </si>
  <si>
    <t>h2“</t>
    <phoneticPr fontId="3" type="noConversion"/>
  </si>
  <si>
    <t>P2压力下产生蒸汽量</t>
    <phoneticPr fontId="3" type="noConversion"/>
  </si>
  <si>
    <t>kg</t>
    <phoneticPr fontId="3" type="noConversion"/>
  </si>
  <si>
    <t>热平衡计算</t>
    <phoneticPr fontId="3" type="noConversion"/>
  </si>
  <si>
    <t>充热压力下的饱和水比容</t>
    <phoneticPr fontId="3" type="noConversion"/>
  </si>
  <si>
    <t>r1‘</t>
    <phoneticPr fontId="3" type="noConversion"/>
  </si>
  <si>
    <t>m3/kg</t>
    <phoneticPr fontId="3" type="noConversion"/>
  </si>
  <si>
    <t>单位水容积蓄热量</t>
    <phoneticPr fontId="3" type="noConversion"/>
  </si>
  <si>
    <t>gs</t>
    <phoneticPr fontId="3" type="noConversion"/>
  </si>
  <si>
    <t>g/r1'</t>
    <phoneticPr fontId="3" type="noConversion"/>
  </si>
  <si>
    <t>蓄热器热效率</t>
    <phoneticPr fontId="3" type="noConversion"/>
  </si>
  <si>
    <t>0.95~0.99</t>
    <phoneticPr fontId="3" type="noConversion"/>
  </si>
  <si>
    <t>充水系数</t>
    <phoneticPr fontId="3" type="noConversion"/>
  </si>
  <si>
    <r>
      <t>0.65~</t>
    </r>
    <r>
      <rPr>
        <sz val="10"/>
        <rFont val="宋体"/>
        <family val="3"/>
        <charset val="134"/>
      </rPr>
      <t>0.</t>
    </r>
    <r>
      <rPr>
        <sz val="10"/>
        <rFont val="宋体"/>
        <family val="3"/>
        <charset val="134"/>
      </rPr>
      <t>85</t>
    </r>
    <phoneticPr fontId="3" type="noConversion"/>
  </si>
  <si>
    <t>蓄热器的蓄热量</t>
    <phoneticPr fontId="3" type="noConversion"/>
  </si>
  <si>
    <t>G</t>
    <phoneticPr fontId="3" type="noConversion"/>
  </si>
  <si>
    <t>折算成蒸汽</t>
    <phoneticPr fontId="3" type="noConversion"/>
  </si>
  <si>
    <t>蓄热器容积</t>
    <phoneticPr fontId="3" type="noConversion"/>
  </si>
  <si>
    <r>
      <t>m</t>
    </r>
    <r>
      <rPr>
        <sz val="10"/>
        <rFont val="宋体"/>
        <family val="3"/>
        <charset val="134"/>
      </rPr>
      <t>3</t>
    </r>
    <phoneticPr fontId="3" type="noConversion"/>
  </si>
  <si>
    <t>G/gs*η*η2</t>
    <phoneticPr fontId="3" type="noConversion"/>
  </si>
  <si>
    <t>蓄热器上部蒸汽容积</t>
    <phoneticPr fontId="3" type="noConversion"/>
  </si>
  <si>
    <r>
      <t>V</t>
    </r>
    <r>
      <rPr>
        <sz val="10"/>
        <rFont val="宋体"/>
        <family val="3"/>
        <charset val="134"/>
      </rPr>
      <t>"</t>
    </r>
    <phoneticPr fontId="3" type="noConversion"/>
  </si>
  <si>
    <t>（1-η2）*V</t>
    <phoneticPr fontId="3" type="noConversion"/>
  </si>
  <si>
    <t>锅炉最大负荷</t>
    <phoneticPr fontId="3" type="noConversion"/>
  </si>
  <si>
    <t>Dmax</t>
    <phoneticPr fontId="3" type="noConversion"/>
  </si>
  <si>
    <t>锅炉平均负荷</t>
    <phoneticPr fontId="3" type="noConversion"/>
  </si>
  <si>
    <r>
      <t>D</t>
    </r>
    <r>
      <rPr>
        <sz val="10"/>
        <rFont val="宋体"/>
        <family val="3"/>
        <charset val="134"/>
      </rPr>
      <t>i</t>
    </r>
    <phoneticPr fontId="3" type="noConversion"/>
  </si>
  <si>
    <t>蓄热器最大放汽量</t>
    <phoneticPr fontId="3" type="noConversion"/>
  </si>
  <si>
    <t>Dmax-Di</t>
    <phoneticPr fontId="3" type="noConversion"/>
  </si>
  <si>
    <t>质量蒸发强度</t>
    <phoneticPr fontId="3" type="noConversion"/>
  </si>
  <si>
    <t>R2</t>
    <phoneticPr fontId="3" type="noConversion"/>
  </si>
  <si>
    <t>R2&lt;R2'</t>
    <phoneticPr fontId="3" type="noConversion"/>
  </si>
  <si>
    <r>
      <t>D</t>
    </r>
    <r>
      <rPr>
        <sz val="10"/>
        <rFont val="宋体"/>
        <family val="3"/>
        <charset val="134"/>
      </rPr>
      <t>/V"</t>
    </r>
    <phoneticPr fontId="3" type="noConversion"/>
  </si>
  <si>
    <t>放热压力下的质量蒸发强度</t>
    <phoneticPr fontId="3" type="noConversion"/>
  </si>
  <si>
    <t>R2'</t>
    <phoneticPr fontId="3" type="noConversion"/>
  </si>
  <si>
    <t>充热状态下的体积</t>
    <phoneticPr fontId="3" type="noConversion"/>
  </si>
  <si>
    <t>V1</t>
    <phoneticPr fontId="3" type="noConversion"/>
  </si>
  <si>
    <t>G/gs</t>
    <phoneticPr fontId="3" type="noConversion"/>
  </si>
  <si>
    <t>放热压力下的饱和水比容</t>
    <phoneticPr fontId="3" type="noConversion"/>
  </si>
  <si>
    <r>
      <t>r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‘</t>
    </r>
    <phoneticPr fontId="3" type="noConversion"/>
  </si>
  <si>
    <t>放热完了水的体积</t>
    <phoneticPr fontId="3" type="noConversion"/>
  </si>
  <si>
    <t>V2</t>
    <phoneticPr fontId="3" type="noConversion"/>
  </si>
  <si>
    <t>（V1*r1'-G)/r2'</t>
    <phoneticPr fontId="3" type="noConversion"/>
  </si>
  <si>
    <t>2、发电功率估算</t>
    <phoneticPr fontId="3" type="noConversion"/>
  </si>
  <si>
    <t>汽轮机内效率</t>
    <phoneticPr fontId="3" type="noConversion"/>
  </si>
  <si>
    <r>
      <t>η</t>
    </r>
    <r>
      <rPr>
        <vertAlign val="subscript"/>
        <sz val="12"/>
        <rFont val="Times New Roman"/>
        <family val="1"/>
      </rPr>
      <t>Ti</t>
    </r>
    <phoneticPr fontId="3" type="noConversion"/>
  </si>
  <si>
    <t>输入（自定义，参考值显示）</t>
    <phoneticPr fontId="88" type="noConversion"/>
  </si>
  <si>
    <t>汽轮机部分</t>
    <phoneticPr fontId="3" type="noConversion"/>
  </si>
  <si>
    <t>机械效率</t>
    <phoneticPr fontId="3" type="noConversion"/>
  </si>
  <si>
    <r>
      <t>η</t>
    </r>
    <r>
      <rPr>
        <vertAlign val="subscript"/>
        <sz val="12"/>
        <rFont val="Times New Roman"/>
        <family val="1"/>
      </rPr>
      <t>m</t>
    </r>
    <phoneticPr fontId="3" type="noConversion"/>
  </si>
  <si>
    <t>发电机效率</t>
    <phoneticPr fontId="3" type="noConversion"/>
  </si>
  <si>
    <r>
      <t>η</t>
    </r>
    <r>
      <rPr>
        <vertAlign val="subscript"/>
        <sz val="12"/>
        <rFont val="Times New Roman"/>
        <family val="1"/>
      </rPr>
      <t>g</t>
    </r>
    <phoneticPr fontId="3" type="noConversion"/>
  </si>
  <si>
    <t>主蒸汽      压力</t>
    <phoneticPr fontId="3" type="noConversion"/>
  </si>
  <si>
    <t>设计参数</t>
  </si>
  <si>
    <t>G1</t>
    <phoneticPr fontId="3" type="noConversion"/>
  </si>
  <si>
    <t>热源产生主蒸汽总流量</t>
    <phoneticPr fontId="3" type="noConversion"/>
  </si>
  <si>
    <t>熵</t>
    <phoneticPr fontId="3" type="noConversion"/>
  </si>
  <si>
    <t>kJ/(kg·℃)</t>
    <phoneticPr fontId="3" type="noConversion"/>
  </si>
  <si>
    <t>查表</t>
    <phoneticPr fontId="3" type="noConversion"/>
  </si>
  <si>
    <t>函数计算</t>
    <phoneticPr fontId="88" type="noConversion"/>
  </si>
  <si>
    <t>焓</t>
    <phoneticPr fontId="3" type="noConversion"/>
  </si>
  <si>
    <t>Izo</t>
    <phoneticPr fontId="3" type="noConversion"/>
  </si>
  <si>
    <t>kJ/kg</t>
    <phoneticPr fontId="3" type="noConversion"/>
  </si>
  <si>
    <t>查表</t>
    <phoneticPr fontId="3" type="noConversion"/>
  </si>
  <si>
    <t>补汽点       压力</t>
    <phoneticPr fontId="3" type="noConversion"/>
  </si>
  <si>
    <t>P2'</t>
    <phoneticPr fontId="3" type="noConversion"/>
  </si>
  <si>
    <t>Mpa</t>
    <phoneticPr fontId="3" type="noConversion"/>
  </si>
  <si>
    <t>设计参数</t>
    <phoneticPr fontId="3" type="noConversion"/>
  </si>
  <si>
    <t>输入（自定义）</t>
    <phoneticPr fontId="88" type="noConversion"/>
  </si>
  <si>
    <t>温度</t>
    <phoneticPr fontId="3" type="noConversion"/>
  </si>
  <si>
    <t>℃</t>
    <phoneticPr fontId="3" type="noConversion"/>
  </si>
  <si>
    <t>是否可以过热</t>
    <phoneticPr fontId="3" type="noConversion"/>
  </si>
  <si>
    <t>熵</t>
    <phoneticPr fontId="3" type="noConversion"/>
  </si>
  <si>
    <t>S'</t>
    <phoneticPr fontId="3" type="noConversion"/>
  </si>
  <si>
    <t>kJ/(kg·℃)</t>
    <phoneticPr fontId="3" type="noConversion"/>
  </si>
  <si>
    <t>主蒸汽绝热等熵</t>
    <phoneticPr fontId="3" type="noConversion"/>
  </si>
  <si>
    <t>Izob</t>
    <phoneticPr fontId="3" type="noConversion"/>
  </si>
  <si>
    <t>流量</t>
    <phoneticPr fontId="3" type="noConversion"/>
  </si>
  <si>
    <t>G2</t>
    <phoneticPr fontId="3" type="noConversion"/>
  </si>
  <si>
    <t>t/h</t>
    <phoneticPr fontId="3" type="noConversion"/>
  </si>
  <si>
    <t>若用户补汽，冷凝后排到厂区水网；补气时为0；</t>
    <phoneticPr fontId="3" type="noConversion"/>
  </si>
  <si>
    <t>输出结果</t>
    <phoneticPr fontId="88" type="noConversion"/>
  </si>
  <si>
    <t>备注什么意思</t>
    <phoneticPr fontId="3" type="noConversion"/>
  </si>
  <si>
    <t>混合后蒸汽量</t>
    <phoneticPr fontId="3" type="noConversion"/>
  </si>
  <si>
    <t>G</t>
    <phoneticPr fontId="3" type="noConversion"/>
  </si>
  <si>
    <t>G1+G2</t>
    <phoneticPr fontId="3" type="noConversion"/>
  </si>
  <si>
    <t>压力</t>
    <phoneticPr fontId="3" type="noConversion"/>
  </si>
  <si>
    <r>
      <t>I</t>
    </r>
    <r>
      <rPr>
        <vertAlign val="subscript"/>
        <sz val="11"/>
        <rFont val="宋体"/>
        <family val="3"/>
        <charset val="134"/>
      </rPr>
      <t>h</t>
    </r>
    <phoneticPr fontId="3" type="noConversion"/>
  </si>
  <si>
    <t>（（G1-G3）*Izob+G2*Izo'）/G</t>
    <phoneticPr fontId="3" type="noConversion"/>
  </si>
  <si>
    <r>
      <t>S</t>
    </r>
    <r>
      <rPr>
        <vertAlign val="subscript"/>
        <sz val="11"/>
        <rFont val="宋体"/>
        <family val="3"/>
        <charset val="134"/>
      </rPr>
      <t>h</t>
    </r>
    <phoneticPr fontId="3" type="noConversion"/>
  </si>
  <si>
    <t>有问题</t>
    <phoneticPr fontId="3" type="noConversion"/>
  </si>
  <si>
    <t>乏汽             压力</t>
    <phoneticPr fontId="3" type="noConversion"/>
  </si>
  <si>
    <t>P3</t>
    <phoneticPr fontId="3" type="noConversion"/>
  </si>
  <si>
    <t>湿冷：0.005～0.007 空冷0.015</t>
    <phoneticPr fontId="3" type="noConversion"/>
  </si>
  <si>
    <t>Ipo</t>
    <phoneticPr fontId="3" type="noConversion"/>
  </si>
  <si>
    <t>汽轮机绝热等熵做功排汽焓值，查表</t>
    <phoneticPr fontId="3" type="noConversion"/>
  </si>
  <si>
    <t>总发电量</t>
    <phoneticPr fontId="3" type="noConversion"/>
  </si>
  <si>
    <t>P</t>
    <phoneticPr fontId="3" type="noConversion"/>
  </si>
  <si>
    <t>kw</t>
    <phoneticPr fontId="3" type="noConversion"/>
  </si>
  <si>
    <t>去除抽汽后</t>
    <phoneticPr fontId="3" type="noConversion"/>
  </si>
  <si>
    <t>MW</t>
    <phoneticPr fontId="3" type="noConversion"/>
  </si>
  <si>
    <t>经验值：有高加0.85；无高加0.9；无低价0.95</t>
    <phoneticPr fontId="3" type="noConversion"/>
  </si>
  <si>
    <t>先手动选择系数</t>
    <phoneticPr fontId="3" type="noConversion"/>
  </si>
  <si>
    <t>选定</t>
    <phoneticPr fontId="3" type="noConversion"/>
  </si>
  <si>
    <t>全厂汽水损失</t>
    <phoneticPr fontId="3" type="noConversion"/>
  </si>
  <si>
    <t>输入（自定义，参考值显示）</t>
    <phoneticPr fontId="88" type="noConversion"/>
  </si>
  <si>
    <t>3、汽轮机回热系统计算--高压设5-6回热，给水温度210-230；中温中压4-5及回热，给水温度150-170；1.3MPa低压2级回热，给水温度104；2.4MPa低压3-4级回热，给水温度150；</t>
    <phoneticPr fontId="3" type="noConversion"/>
  </si>
  <si>
    <t>根据情况选择加热器形式：汇集式或者疏水放流式加热器，汇集式带疏水泵将疏水打至给水；假定换热效率0.98</t>
    <phoneticPr fontId="3" type="noConversion"/>
  </si>
  <si>
    <t>序号</t>
    <phoneticPr fontId="3" type="noConversion"/>
  </si>
  <si>
    <t>给水出水温度</t>
    <phoneticPr fontId="3" type="noConversion"/>
  </si>
  <si>
    <t>给水出口焓</t>
    <phoneticPr fontId="3" type="noConversion"/>
  </si>
  <si>
    <t>上端差</t>
    <phoneticPr fontId="3" type="noConversion"/>
  </si>
  <si>
    <t>饱和水温度--加热器疏水温度</t>
    <phoneticPr fontId="3" type="noConversion"/>
  </si>
  <si>
    <t>饱和水焓</t>
    <phoneticPr fontId="3" type="noConversion"/>
  </si>
  <si>
    <t>工作压力</t>
    <phoneticPr fontId="3" type="noConversion"/>
  </si>
  <si>
    <t>抽汽管压损</t>
    <phoneticPr fontId="3" type="noConversion"/>
  </si>
  <si>
    <t>抽汽压力</t>
    <phoneticPr fontId="3" type="noConversion"/>
  </si>
  <si>
    <t>抽汽焓</t>
    <phoneticPr fontId="3" type="noConversion"/>
  </si>
  <si>
    <t>抽汽量</t>
    <phoneticPr fontId="3" type="noConversion"/>
  </si>
  <si>
    <t>符号</t>
    <phoneticPr fontId="3" type="noConversion"/>
  </si>
  <si>
    <r>
      <t>t</t>
    </r>
    <r>
      <rPr>
        <sz val="9"/>
        <rFont val="宋体"/>
        <family val="3"/>
        <charset val="134"/>
      </rPr>
      <t>w2</t>
    </r>
    <phoneticPr fontId="3" type="noConversion"/>
  </si>
  <si>
    <r>
      <t>h</t>
    </r>
    <r>
      <rPr>
        <sz val="9"/>
        <rFont val="宋体"/>
        <family val="3"/>
        <charset val="134"/>
      </rPr>
      <t>w2</t>
    </r>
    <phoneticPr fontId="3" type="noConversion"/>
  </si>
  <si>
    <t>φ</t>
    <phoneticPr fontId="3" type="noConversion"/>
  </si>
  <si>
    <r>
      <t>t</t>
    </r>
    <r>
      <rPr>
        <sz val="9"/>
        <rFont val="宋体"/>
        <family val="3"/>
        <charset val="134"/>
      </rPr>
      <t>e‘</t>
    </r>
    <phoneticPr fontId="3" type="noConversion"/>
  </si>
  <si>
    <r>
      <t>h</t>
    </r>
    <r>
      <rPr>
        <sz val="10"/>
        <rFont val="宋体"/>
        <family val="3"/>
        <charset val="134"/>
      </rPr>
      <t>e</t>
    </r>
    <r>
      <rPr>
        <sz val="11"/>
        <rFont val="宋体"/>
        <family val="3"/>
        <charset val="134"/>
      </rPr>
      <t>’</t>
    </r>
    <phoneticPr fontId="3" type="noConversion"/>
  </si>
  <si>
    <r>
      <t>p</t>
    </r>
    <r>
      <rPr>
        <sz val="9"/>
        <rFont val="宋体"/>
        <family val="3"/>
        <charset val="134"/>
      </rPr>
      <t>e‘</t>
    </r>
    <phoneticPr fontId="3" type="noConversion"/>
  </si>
  <si>
    <t>ΔPe</t>
    <phoneticPr fontId="3" type="noConversion"/>
  </si>
  <si>
    <t>Pe</t>
    <phoneticPr fontId="3" type="noConversion"/>
  </si>
  <si>
    <r>
      <t>h</t>
    </r>
    <r>
      <rPr>
        <sz val="10"/>
        <rFont val="宋体"/>
        <family val="3"/>
        <charset val="134"/>
      </rPr>
      <t>e</t>
    </r>
    <phoneticPr fontId="3" type="noConversion"/>
  </si>
  <si>
    <t>Δde‘</t>
    <phoneticPr fontId="3" type="noConversion"/>
  </si>
  <si>
    <t>单位</t>
    <phoneticPr fontId="3" type="noConversion"/>
  </si>
  <si>
    <t>kj/kg</t>
    <phoneticPr fontId="3" type="noConversion"/>
  </si>
  <si>
    <t>HH1</t>
    <phoneticPr fontId="3" type="noConversion"/>
  </si>
  <si>
    <t>HH2</t>
    <phoneticPr fontId="3" type="noConversion"/>
  </si>
  <si>
    <t>假设</t>
    <phoneticPr fontId="3" type="noConversion"/>
  </si>
  <si>
    <t>化学补水</t>
    <phoneticPr fontId="3" type="noConversion"/>
  </si>
  <si>
    <t>温度：</t>
    <phoneticPr fontId="3" type="noConversion"/>
  </si>
  <si>
    <t>压力：</t>
    <phoneticPr fontId="3" type="noConversion"/>
  </si>
  <si>
    <t>焓值：</t>
    <phoneticPr fontId="3" type="noConversion"/>
  </si>
  <si>
    <t>量：</t>
    <phoneticPr fontId="3" type="noConversion"/>
  </si>
  <si>
    <t>D</t>
    <phoneticPr fontId="3" type="noConversion"/>
  </si>
  <si>
    <t>LH1</t>
    <phoneticPr fontId="3" type="noConversion"/>
  </si>
  <si>
    <t>LH2</t>
    <phoneticPr fontId="3" type="noConversion"/>
  </si>
  <si>
    <t>C</t>
    <phoneticPr fontId="3" type="noConversion"/>
  </si>
  <si>
    <t>注意：除氧器压力、温度选择原则---大气式除氧器0.02MPa，104℃；中压除氧器0.3MPa，130℃；高压除氧器0.5MPa，159℃；压力均为表压；抽汽压力略高于除氧压力</t>
    <phoneticPr fontId="3" type="noConversion"/>
  </si>
  <si>
    <r>
      <t>4、组内功率计算及校核--</t>
    </r>
    <r>
      <rPr>
        <sz val="11"/>
        <color indexed="14"/>
        <rFont val="宋体"/>
        <family val="3"/>
        <charset val="134"/>
      </rPr>
      <t>（1）注意补汽压力所对应的的补汽点位置；（2）注意无高加时，高加抽气压力需手动修改</t>
    </r>
    <phoneticPr fontId="3" type="noConversion"/>
  </si>
  <si>
    <t>〔1〕</t>
    <phoneticPr fontId="3" type="noConversion"/>
  </si>
  <si>
    <t>汽轮机内效率</t>
    <phoneticPr fontId="3" type="noConversion"/>
  </si>
  <si>
    <r>
      <t>η</t>
    </r>
    <r>
      <rPr>
        <vertAlign val="subscript"/>
        <sz val="12"/>
        <rFont val="Times New Roman"/>
        <family val="1"/>
      </rPr>
      <t>Ti</t>
    </r>
    <phoneticPr fontId="3" type="noConversion"/>
  </si>
  <si>
    <t>给定</t>
    <phoneticPr fontId="3" type="noConversion"/>
  </si>
  <si>
    <t>机械效率</t>
    <phoneticPr fontId="3" type="noConversion"/>
  </si>
  <si>
    <r>
      <t>η</t>
    </r>
    <r>
      <rPr>
        <vertAlign val="subscript"/>
        <sz val="12"/>
        <rFont val="Times New Roman"/>
        <family val="1"/>
      </rPr>
      <t>m</t>
    </r>
    <phoneticPr fontId="3" type="noConversion"/>
  </si>
  <si>
    <t>发电机效率</t>
    <phoneticPr fontId="3" type="noConversion"/>
  </si>
  <si>
    <r>
      <t>η</t>
    </r>
    <r>
      <rPr>
        <vertAlign val="subscript"/>
        <sz val="12"/>
        <rFont val="Times New Roman"/>
        <family val="1"/>
      </rPr>
      <t>g</t>
    </r>
    <phoneticPr fontId="3" type="noConversion"/>
  </si>
  <si>
    <t>主蒸汽       压力</t>
    <phoneticPr fontId="3" type="noConversion"/>
  </si>
  <si>
    <t>G1</t>
    <phoneticPr fontId="3" type="noConversion"/>
  </si>
  <si>
    <t>热源产生主蒸汽总流量</t>
    <phoneticPr fontId="3" type="noConversion"/>
  </si>
  <si>
    <t>1#高压    压力</t>
    <phoneticPr fontId="3" type="noConversion"/>
  </si>
  <si>
    <t>GH1</t>
    <phoneticPr fontId="3" type="noConversion"/>
  </si>
  <si>
    <t>主汽至HH1功率</t>
    <phoneticPr fontId="3" type="noConversion"/>
  </si>
  <si>
    <t>P2</t>
    <phoneticPr fontId="3" type="noConversion"/>
  </si>
  <si>
    <t>KW</t>
    <phoneticPr fontId="3" type="noConversion"/>
  </si>
  <si>
    <t>2#高压    压力</t>
    <phoneticPr fontId="3" type="noConversion"/>
  </si>
  <si>
    <t>GH2</t>
    <phoneticPr fontId="3" type="noConversion"/>
  </si>
  <si>
    <t>HH1至HH2功率</t>
    <phoneticPr fontId="3" type="noConversion"/>
  </si>
  <si>
    <t>D除氧    压力</t>
    <phoneticPr fontId="3" type="noConversion"/>
  </si>
  <si>
    <t>GD</t>
    <phoneticPr fontId="3" type="noConversion"/>
  </si>
  <si>
    <t>HH2至D功率</t>
    <phoneticPr fontId="3" type="noConversion"/>
  </si>
  <si>
    <t>P4</t>
    <phoneticPr fontId="3" type="noConversion"/>
  </si>
  <si>
    <t>补汽点      压力</t>
    <phoneticPr fontId="3" type="noConversion"/>
  </si>
  <si>
    <t>〔28〕</t>
  </si>
  <si>
    <t>〔29〕</t>
  </si>
  <si>
    <t>〔30〕</t>
  </si>
  <si>
    <t>实际焓值</t>
    <phoneticPr fontId="3" type="noConversion"/>
  </si>
  <si>
    <t>〔31〕</t>
  </si>
  <si>
    <t>等熵下焓值</t>
    <phoneticPr fontId="3" type="noConversion"/>
  </si>
  <si>
    <t>〔32〕</t>
  </si>
  <si>
    <t>〔33〕</t>
  </si>
  <si>
    <t>D至补汽功率</t>
    <phoneticPr fontId="3" type="noConversion"/>
  </si>
  <si>
    <t>P1</t>
    <phoneticPr fontId="3" type="noConversion"/>
  </si>
  <si>
    <t>〔34〕</t>
  </si>
  <si>
    <t>1#低加    压力</t>
    <phoneticPr fontId="3" type="noConversion"/>
  </si>
  <si>
    <t>〔35〕</t>
  </si>
  <si>
    <t>〔36〕</t>
  </si>
  <si>
    <t>〔37〕</t>
  </si>
  <si>
    <t>〔38〕</t>
  </si>
  <si>
    <t>GL2</t>
    <phoneticPr fontId="3" type="noConversion"/>
  </si>
  <si>
    <t>〔39〕</t>
  </si>
  <si>
    <t>补汽至LH1功率</t>
    <phoneticPr fontId="3" type="noConversion"/>
  </si>
  <si>
    <t>P5</t>
    <phoneticPr fontId="3" type="noConversion"/>
  </si>
  <si>
    <t>〔40〕</t>
  </si>
  <si>
    <t>2#低加    压力</t>
    <phoneticPr fontId="3" type="noConversion"/>
  </si>
  <si>
    <t>〔41〕</t>
  </si>
  <si>
    <t>〔42〕</t>
  </si>
  <si>
    <t>〔43〕</t>
  </si>
  <si>
    <t>〔44〕</t>
  </si>
  <si>
    <t>〔45〕</t>
  </si>
  <si>
    <t>LH1至LH2功率</t>
    <phoneticPr fontId="3" type="noConversion"/>
  </si>
  <si>
    <t>P6</t>
    <phoneticPr fontId="3" type="noConversion"/>
  </si>
  <si>
    <t>〔46〕</t>
  </si>
  <si>
    <t>乏汽         压力</t>
    <phoneticPr fontId="3" type="noConversion"/>
  </si>
  <si>
    <t>〔47〕</t>
  </si>
  <si>
    <t>〔48〕</t>
  </si>
  <si>
    <t>〔49〕</t>
  </si>
  <si>
    <t>实际焓</t>
    <phoneticPr fontId="3" type="noConversion"/>
  </si>
  <si>
    <t>Ipo‘</t>
    <phoneticPr fontId="3" type="noConversion"/>
  </si>
  <si>
    <t>kJ/kg</t>
  </si>
  <si>
    <t>〔50〕</t>
  </si>
  <si>
    <t>饱和蒸汽焓</t>
    <phoneticPr fontId="3" type="noConversion"/>
  </si>
  <si>
    <t>Ipog</t>
    <phoneticPr fontId="3" type="noConversion"/>
  </si>
  <si>
    <t>〔51〕</t>
  </si>
  <si>
    <t>Ipos</t>
    <phoneticPr fontId="3" type="noConversion"/>
  </si>
  <si>
    <t>〔52〕</t>
  </si>
  <si>
    <t>干度</t>
    <phoneticPr fontId="3" type="noConversion"/>
  </si>
  <si>
    <t>x</t>
    <phoneticPr fontId="3" type="noConversion"/>
  </si>
  <si>
    <t>(Ipo'-Ipos）/（Ipog-Ipos）  小型汽轮机排汽湿度控制在10~12%以内</t>
    <phoneticPr fontId="3" type="noConversion"/>
  </si>
  <si>
    <t>〔53〕</t>
  </si>
  <si>
    <t>压力提高，排汽干度降低；</t>
    <phoneticPr fontId="3" type="noConversion"/>
  </si>
  <si>
    <t>〔54〕</t>
  </si>
  <si>
    <t>LH2至乏汽功率</t>
    <phoneticPr fontId="3" type="noConversion"/>
  </si>
  <si>
    <t>P7</t>
    <phoneticPr fontId="3" type="noConversion"/>
  </si>
  <si>
    <t>〔55〕</t>
  </si>
  <si>
    <t>总功率</t>
    <phoneticPr fontId="3" type="noConversion"/>
  </si>
  <si>
    <t>〔56〕</t>
  </si>
  <si>
    <t>计算误差</t>
    <phoneticPr fontId="3" type="noConversion"/>
  </si>
  <si>
    <t>±3%以内</t>
    <phoneticPr fontId="3" type="noConversion"/>
  </si>
  <si>
    <t>5、主要经济指标</t>
    <phoneticPr fontId="3" type="noConversion"/>
  </si>
  <si>
    <t>热耗量</t>
    <phoneticPr fontId="3" type="noConversion"/>
  </si>
  <si>
    <t>Q</t>
    <phoneticPr fontId="3" type="noConversion"/>
  </si>
  <si>
    <t>1000KJ/h</t>
    <phoneticPr fontId="3" type="noConversion"/>
  </si>
  <si>
    <t>无用户补汽</t>
    <phoneticPr fontId="3" type="noConversion"/>
  </si>
  <si>
    <t>有用户补汽</t>
    <phoneticPr fontId="3" type="noConversion"/>
  </si>
  <si>
    <t>热耗率</t>
    <phoneticPr fontId="3" type="noConversion"/>
  </si>
  <si>
    <t>q</t>
    <phoneticPr fontId="3" type="noConversion"/>
  </si>
  <si>
    <t>kj/（kw.h）</t>
    <phoneticPr fontId="3" type="noConversion"/>
  </si>
  <si>
    <t>汽耗率</t>
    <phoneticPr fontId="3" type="noConversion"/>
  </si>
  <si>
    <t>d</t>
    <phoneticPr fontId="3" type="noConversion"/>
  </si>
  <si>
    <t>kg/kw.h</t>
    <phoneticPr fontId="3" type="noConversion"/>
  </si>
  <si>
    <t>标准煤耗量</t>
    <phoneticPr fontId="3" type="noConversion"/>
  </si>
  <si>
    <t>B</t>
    <phoneticPr fontId="3" type="noConversion"/>
  </si>
  <si>
    <t>kg/h</t>
    <phoneticPr fontId="3" type="noConversion"/>
  </si>
  <si>
    <t>29308kj/kg 标煤热值；7000大卡</t>
    <phoneticPr fontId="3" type="noConversion"/>
  </si>
  <si>
    <t>煤耗率</t>
    <phoneticPr fontId="3" type="noConversion"/>
  </si>
  <si>
    <t>b</t>
    <phoneticPr fontId="3" type="noConversion"/>
  </si>
  <si>
    <t>全厂热效率</t>
    <phoneticPr fontId="3" type="noConversion"/>
  </si>
  <si>
    <t>ηe</t>
    <phoneticPr fontId="3" type="noConversion"/>
  </si>
  <si>
    <t>中小型凝汽式发电机组总效率约为30%左右</t>
    <phoneticPr fontId="3" type="noConversion"/>
  </si>
  <si>
    <t>年利用小时数</t>
    <phoneticPr fontId="3" type="noConversion"/>
  </si>
  <si>
    <t>T</t>
    <phoneticPr fontId="3" type="noConversion"/>
  </si>
  <si>
    <t>h</t>
    <phoneticPr fontId="3" type="noConversion"/>
  </si>
  <si>
    <t>年发电量</t>
    <phoneticPr fontId="3" type="noConversion"/>
  </si>
  <si>
    <r>
      <t>10</t>
    </r>
    <r>
      <rPr>
        <vertAlign val="superscript"/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Kw.h</t>
    </r>
    <phoneticPr fontId="3" type="noConversion"/>
  </si>
  <si>
    <t>电站自耗电功率</t>
    <phoneticPr fontId="3" type="noConversion"/>
  </si>
  <si>
    <t>Kwh</t>
    <phoneticPr fontId="3" type="noConversion"/>
  </si>
  <si>
    <t>电站自耗电率</t>
    <phoneticPr fontId="3" type="noConversion"/>
  </si>
  <si>
    <t>%</t>
    <phoneticPr fontId="3" type="noConversion"/>
  </si>
  <si>
    <t>年外供电量</t>
    <phoneticPr fontId="3" type="noConversion"/>
  </si>
  <si>
    <t>年节约标煤</t>
    <phoneticPr fontId="3" type="noConversion"/>
  </si>
  <si>
    <t>等价</t>
    <phoneticPr fontId="3" type="noConversion"/>
  </si>
  <si>
    <t>万吨</t>
    <phoneticPr fontId="3" type="noConversion"/>
  </si>
  <si>
    <t>国家统计局：每度电折0.404kg 标煤</t>
    <phoneticPr fontId="3" type="noConversion"/>
  </si>
  <si>
    <t>当量</t>
    <phoneticPr fontId="3" type="noConversion"/>
  </si>
  <si>
    <t>电力：每度电折0.1229kg 标煤</t>
    <phoneticPr fontId="3" type="noConversion"/>
  </si>
  <si>
    <t>电力行业</t>
    <phoneticPr fontId="3" type="noConversion"/>
  </si>
  <si>
    <t>360g</t>
    <phoneticPr fontId="3" type="noConversion"/>
  </si>
  <si>
    <t>锅炉部分</t>
    <phoneticPr fontId="3" type="noConversion"/>
  </si>
  <si>
    <t>1、产汽量计算（以锅炉热效率为基础）</t>
    <phoneticPr fontId="3" type="noConversion"/>
  </si>
  <si>
    <t>BFG</t>
    <phoneticPr fontId="3" type="noConversion"/>
  </si>
  <si>
    <t>LDG</t>
    <phoneticPr fontId="3" type="noConversion"/>
  </si>
  <si>
    <t>COG</t>
    <phoneticPr fontId="3" type="noConversion"/>
  </si>
  <si>
    <t>煤气流量</t>
    <phoneticPr fontId="3" type="noConversion"/>
  </si>
  <si>
    <t>Vg</t>
    <phoneticPr fontId="3" type="noConversion"/>
  </si>
  <si>
    <r>
      <t>Nm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>/h</t>
    </r>
    <phoneticPr fontId="3" type="noConversion"/>
  </si>
  <si>
    <t>由余热资源确定</t>
    <phoneticPr fontId="3" type="noConversion"/>
  </si>
  <si>
    <t>输入（需求调查表）</t>
    <phoneticPr fontId="88" type="noConversion"/>
  </si>
  <si>
    <t>大卡转千焦</t>
    <phoneticPr fontId="3" type="noConversion"/>
  </si>
  <si>
    <t>煤气热值</t>
    <phoneticPr fontId="3" type="noConversion"/>
  </si>
  <si>
    <r>
      <t>Q</t>
    </r>
    <r>
      <rPr>
        <vertAlign val="subscript"/>
        <sz val="11"/>
        <rFont val="宋体"/>
        <family val="3"/>
        <charset val="134"/>
      </rPr>
      <t>ar.net.p</t>
    </r>
    <phoneticPr fontId="3" type="noConversion"/>
  </si>
  <si>
    <r>
      <t>kj/Nm</t>
    </r>
    <r>
      <rPr>
        <vertAlign val="superscript"/>
        <sz val="11"/>
        <rFont val="宋体"/>
        <family val="3"/>
        <charset val="134"/>
      </rPr>
      <t>3</t>
    </r>
    <phoneticPr fontId="3" type="noConversion"/>
  </si>
  <si>
    <t>锅炉热效率</t>
    <phoneticPr fontId="3" type="noConversion"/>
  </si>
  <si>
    <t>过热蒸汽出口压力</t>
    <phoneticPr fontId="3" type="noConversion"/>
  </si>
  <si>
    <t>设计参数，绝压</t>
    <phoneticPr fontId="3" type="noConversion"/>
  </si>
  <si>
    <t>过热蒸汽温度</t>
    <phoneticPr fontId="3" type="noConversion"/>
  </si>
  <si>
    <t>two</t>
    <phoneticPr fontId="3" type="noConversion"/>
  </si>
  <si>
    <t>℃</t>
  </si>
  <si>
    <t>过热蒸汽焓值</t>
    <phoneticPr fontId="3" type="noConversion"/>
  </si>
  <si>
    <t>Izo</t>
    <phoneticPr fontId="3" type="noConversion"/>
  </si>
  <si>
    <t>kJ/kg</t>
    <phoneticPr fontId="3" type="noConversion"/>
  </si>
  <si>
    <t>一般1.1~1.2</t>
    <phoneticPr fontId="3" type="noConversion"/>
  </si>
  <si>
    <t>空气焓值</t>
    <phoneticPr fontId="3" type="noConversion"/>
  </si>
  <si>
    <t>hkq</t>
  </si>
  <si>
    <t>燃烧所需空气量</t>
    <phoneticPr fontId="3" type="noConversion"/>
  </si>
  <si>
    <t>Vn</t>
    <phoneticPr fontId="3" type="noConversion"/>
  </si>
  <si>
    <t>0.209*Qar.net.p*Vg*α</t>
    <phoneticPr fontId="3" type="noConversion"/>
  </si>
  <si>
    <t>锅炉给水温度</t>
    <phoneticPr fontId="3" type="noConversion"/>
  </si>
  <si>
    <r>
      <t>t</t>
    </r>
    <r>
      <rPr>
        <vertAlign val="subscript"/>
        <sz val="11"/>
        <rFont val="宋体"/>
        <family val="3"/>
        <charset val="134"/>
      </rPr>
      <t>gs</t>
    </r>
    <phoneticPr fontId="3" type="noConversion"/>
  </si>
  <si>
    <t>设计参数(有高加为150℃或215℃，没高加为104℃）</t>
    <phoneticPr fontId="3" type="noConversion"/>
  </si>
  <si>
    <t>给水焓值</t>
    <phoneticPr fontId="3" type="noConversion"/>
  </si>
  <si>
    <r>
      <t>h</t>
    </r>
    <r>
      <rPr>
        <vertAlign val="subscript"/>
        <sz val="11"/>
        <rFont val="宋体"/>
        <family val="3"/>
        <charset val="134"/>
      </rPr>
      <t>gs</t>
    </r>
    <phoneticPr fontId="3" type="noConversion"/>
  </si>
  <si>
    <t>排污率</t>
    <phoneticPr fontId="3" type="noConversion"/>
  </si>
  <si>
    <t>φ</t>
    <phoneticPr fontId="3" type="noConversion"/>
  </si>
  <si>
    <t>设定</t>
    <phoneticPr fontId="3" type="noConversion"/>
  </si>
  <si>
    <t>饱和水温度</t>
    <phoneticPr fontId="3" type="noConversion"/>
  </si>
  <si>
    <r>
      <t>t</t>
    </r>
    <r>
      <rPr>
        <vertAlign val="subscript"/>
        <sz val="11"/>
        <rFont val="宋体"/>
        <family val="3"/>
        <charset val="134"/>
      </rPr>
      <t>bh</t>
    </r>
    <phoneticPr fontId="3" type="noConversion"/>
  </si>
  <si>
    <t>查水蒸汽表</t>
    <phoneticPr fontId="3" type="noConversion"/>
  </si>
  <si>
    <t>饱和水焓值</t>
    <phoneticPr fontId="3" type="noConversion"/>
  </si>
  <si>
    <r>
      <t>h</t>
    </r>
    <r>
      <rPr>
        <vertAlign val="subscript"/>
        <sz val="11"/>
        <rFont val="宋体"/>
        <family val="3"/>
        <charset val="134"/>
      </rPr>
      <t>bh</t>
    </r>
    <phoneticPr fontId="3" type="noConversion"/>
  </si>
  <si>
    <t>查水蒸气表</t>
    <phoneticPr fontId="3" type="noConversion"/>
  </si>
  <si>
    <t>〔16〕</t>
    <phoneticPr fontId="3" type="noConversion"/>
  </si>
  <si>
    <t>产汽量</t>
    <phoneticPr fontId="3" type="noConversion"/>
  </si>
  <si>
    <r>
      <t>(V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*h</t>
    </r>
    <r>
      <rPr>
        <vertAlign val="subscript"/>
        <sz val="11"/>
        <rFont val="宋体"/>
        <family val="3"/>
        <charset val="134"/>
      </rPr>
      <t>kq</t>
    </r>
    <r>
      <rPr>
        <sz val="11"/>
        <rFont val="宋体"/>
        <family val="3"/>
        <charset val="134"/>
      </rPr>
      <t>+Vg*Q</t>
    </r>
    <r>
      <rPr>
        <vertAlign val="subscript"/>
        <sz val="11"/>
        <rFont val="宋体"/>
        <family val="3"/>
        <charset val="134"/>
      </rPr>
      <t>ar.net.p）</t>
    </r>
    <r>
      <rPr>
        <sz val="11"/>
        <rFont val="宋体"/>
        <family val="3"/>
        <charset val="134"/>
      </rPr>
      <t>*η/1000/((Izo-h</t>
    </r>
    <r>
      <rPr>
        <vertAlign val="subscript"/>
        <sz val="11"/>
        <rFont val="宋体"/>
        <family val="3"/>
        <charset val="134"/>
      </rPr>
      <t>gs</t>
    </r>
    <r>
      <rPr>
        <sz val="11"/>
        <rFont val="宋体"/>
        <family val="3"/>
        <charset val="134"/>
      </rPr>
      <t>)+φ(h</t>
    </r>
    <r>
      <rPr>
        <vertAlign val="subscript"/>
        <sz val="11"/>
        <rFont val="宋体"/>
        <family val="3"/>
        <charset val="134"/>
      </rPr>
      <t>bh</t>
    </r>
    <r>
      <rPr>
        <sz val="11"/>
        <rFont val="宋体"/>
        <family val="3"/>
        <charset val="134"/>
      </rPr>
      <t>-h</t>
    </r>
    <r>
      <rPr>
        <vertAlign val="subscript"/>
        <sz val="11"/>
        <rFont val="宋体"/>
        <family val="3"/>
        <charset val="134"/>
      </rPr>
      <t>gs</t>
    </r>
    <r>
      <rPr>
        <sz val="11"/>
        <rFont val="宋体"/>
        <family val="3"/>
        <charset val="134"/>
      </rPr>
      <t>))</t>
    </r>
    <phoneticPr fontId="3" type="noConversion"/>
  </si>
  <si>
    <t>温度：</t>
    <phoneticPr fontId="3" type="noConversion"/>
  </si>
  <si>
    <t>煤气发电项目数据调研表</t>
    <phoneticPr fontId="3" type="noConversion"/>
  </si>
  <si>
    <t>单位名称：</t>
    <phoneticPr fontId="3" type="noConversion"/>
  </si>
  <si>
    <t>联 系 人：</t>
    <phoneticPr fontId="3" type="noConversion"/>
  </si>
  <si>
    <t xml:space="preserve">       联系方式：</t>
    <phoneticPr fontId="3" type="noConversion"/>
  </si>
  <si>
    <t>一、煤气参数</t>
    <phoneticPr fontId="3" type="noConversion"/>
  </si>
  <si>
    <t>序号</t>
  </si>
  <si>
    <t>项目</t>
  </si>
  <si>
    <t>数值</t>
  </si>
  <si>
    <t>单位</t>
  </si>
  <si>
    <t>富余的煤气流量</t>
    <phoneticPr fontId="3" type="noConversion"/>
  </si>
  <si>
    <t>煤气温度</t>
    <phoneticPr fontId="3" type="noConversion"/>
  </si>
  <si>
    <t>煤气压力</t>
    <phoneticPr fontId="3" type="noConversion"/>
  </si>
  <si>
    <t>kPa</t>
    <phoneticPr fontId="3" type="noConversion"/>
  </si>
  <si>
    <r>
      <t>kJ/Nm</t>
    </r>
    <r>
      <rPr>
        <vertAlign val="superscript"/>
        <sz val="11"/>
        <rFont val="宋体"/>
        <family val="3"/>
        <charset val="134"/>
      </rPr>
      <t>3</t>
    </r>
    <phoneticPr fontId="3" type="noConversion"/>
  </si>
  <si>
    <t>是否需对外供蒸汽          （外供汽量，汽压）</t>
    <phoneticPr fontId="3" type="noConversion"/>
  </si>
  <si>
    <t>t/h，MPa</t>
    <phoneticPr fontId="3" type="noConversion"/>
  </si>
  <si>
    <t>无则不需要填写</t>
    <phoneticPr fontId="3" type="noConversion"/>
  </si>
  <si>
    <t>组分</t>
  </si>
  <si>
    <t>H2</t>
  </si>
  <si>
    <t>CO</t>
  </si>
  <si>
    <t>C2H4</t>
  </si>
  <si>
    <t>C3H8</t>
  </si>
  <si>
    <t>CmHn</t>
  </si>
  <si>
    <t>合计</t>
  </si>
  <si>
    <t>二、大气、地质条件</t>
    <phoneticPr fontId="3" type="noConversion"/>
  </si>
  <si>
    <t>最高</t>
  </si>
  <si>
    <t>平均</t>
  </si>
  <si>
    <t>最小</t>
  </si>
  <si>
    <t>大气温度</t>
    <phoneticPr fontId="3" type="noConversion"/>
  </si>
  <si>
    <t>大气压力</t>
    <phoneticPr fontId="3" type="noConversion"/>
  </si>
  <si>
    <t>相对湿度</t>
    <phoneticPr fontId="3" type="noConversion"/>
  </si>
  <si>
    <t>室外风速</t>
    <phoneticPr fontId="3" type="noConversion"/>
  </si>
  <si>
    <t>抗震设防烈度</t>
  </si>
  <si>
    <t>三、能源介质条件</t>
    <phoneticPr fontId="3" type="noConversion"/>
  </si>
  <si>
    <t>1、冷却水</t>
    <phoneticPr fontId="3" type="noConversion"/>
  </si>
  <si>
    <t>水质</t>
  </si>
  <si>
    <t>压力：        MPa</t>
    <phoneticPr fontId="3" type="noConversion"/>
  </si>
  <si>
    <t>温度：   ℃</t>
    <phoneticPr fontId="3" type="noConversion"/>
  </si>
  <si>
    <t>PH值:</t>
    <phoneticPr fontId="3" type="noConversion"/>
  </si>
  <si>
    <t xml:space="preserve">悬浮物:      mg/L  </t>
    <phoneticPr fontId="3" type="noConversion"/>
  </si>
  <si>
    <t>氯离子：    mg/L</t>
    <phoneticPr fontId="3" type="noConversion"/>
  </si>
  <si>
    <t>2、氮气</t>
    <phoneticPr fontId="3" type="noConversion"/>
  </si>
  <si>
    <t>纯度：</t>
    <phoneticPr fontId="3" type="noConversion"/>
  </si>
  <si>
    <t>压力范围：</t>
    <phoneticPr fontId="3" type="noConversion"/>
  </si>
  <si>
    <t>要求：</t>
    <phoneticPr fontId="3" type="noConversion"/>
  </si>
  <si>
    <t>MPa</t>
    <phoneticPr fontId="3" type="noConversion"/>
  </si>
  <si>
    <t xml:space="preserve">℃          </t>
    <phoneticPr fontId="3" type="noConversion"/>
  </si>
  <si>
    <t>无油、无水</t>
    <phoneticPr fontId="3" type="noConversion"/>
  </si>
  <si>
    <t>3、压缩空气</t>
    <phoneticPr fontId="3" type="noConversion"/>
  </si>
  <si>
    <t>要求</t>
    <phoneticPr fontId="3" type="noConversion"/>
  </si>
  <si>
    <t>无油、无水</t>
  </si>
  <si>
    <t>4、高压电源</t>
    <phoneticPr fontId="3" type="noConversion"/>
  </si>
  <si>
    <t>并网电压:</t>
    <phoneticPr fontId="3" type="noConversion"/>
  </si>
  <si>
    <t>最大短路容量：</t>
    <phoneticPr fontId="3" type="noConversion"/>
  </si>
  <si>
    <t>其他</t>
    <phoneticPr fontId="3" type="noConversion"/>
  </si>
  <si>
    <t>kV</t>
    <phoneticPr fontId="3" type="noConversion"/>
  </si>
  <si>
    <t>kVA</t>
    <phoneticPr fontId="3" type="noConversion"/>
  </si>
  <si>
    <t>四、其他资料需求</t>
    <phoneticPr fontId="3" type="noConversion"/>
  </si>
  <si>
    <t>备   注</t>
    <phoneticPr fontId="3" type="noConversion"/>
  </si>
  <si>
    <t>拟建厂区坐标点和高程的地形图</t>
    <phoneticPr fontId="3" type="noConversion"/>
  </si>
  <si>
    <t>CAD版，含风玫瑰</t>
    <phoneticPr fontId="3" type="noConversion"/>
  </si>
  <si>
    <t>能源介质接点位置、标高、管径、路由</t>
    <phoneticPr fontId="3" type="noConversion"/>
  </si>
  <si>
    <t>全水质分析报告</t>
    <phoneticPr fontId="3" type="noConversion"/>
  </si>
  <si>
    <t>（尽可能提供）</t>
    <phoneticPr fontId="3" type="noConversion"/>
  </si>
  <si>
    <t>冷却方式及冷却塔形式</t>
    <phoneticPr fontId="3" type="noConversion"/>
  </si>
  <si>
    <t>项目立项及环评手续</t>
    <phoneticPr fontId="3" type="noConversion"/>
  </si>
  <si>
    <t>有 □； 无 □</t>
    <phoneticPr fontId="3" type="noConversion"/>
  </si>
  <si>
    <t>表10-14气体平均定压体积热容[单位：kj/(m3 • K)]</t>
  </si>
  <si>
    <r>
      <t>N</t>
    </r>
    <r>
      <rPr>
        <sz val="9"/>
        <rFont val="宋体"/>
        <family val="3"/>
        <charset val="134"/>
      </rPr>
      <t>2</t>
    </r>
    <phoneticPr fontId="3" type="noConversion"/>
  </si>
  <si>
    <r>
      <t>O</t>
    </r>
    <r>
      <rPr>
        <sz val="9"/>
        <rFont val="宋体"/>
        <family val="3"/>
        <charset val="134"/>
      </rPr>
      <t>2</t>
    </r>
    <phoneticPr fontId="3" type="noConversion"/>
  </si>
  <si>
    <r>
      <t>H</t>
    </r>
    <r>
      <rPr>
        <sz val="9"/>
        <rFont val="宋体"/>
        <family val="3"/>
        <charset val="134"/>
      </rPr>
      <t>2</t>
    </r>
    <r>
      <rPr>
        <sz val="12"/>
        <rFont val="宋体"/>
        <family val="3"/>
        <charset val="134"/>
      </rPr>
      <t>0</t>
    </r>
    <phoneticPr fontId="3" type="noConversion"/>
  </si>
  <si>
    <r>
      <t>C0</t>
    </r>
    <r>
      <rPr>
        <sz val="9"/>
        <rFont val="宋体"/>
        <family val="3"/>
        <charset val="134"/>
      </rPr>
      <t>2</t>
    </r>
    <phoneticPr fontId="3" type="noConversion"/>
  </si>
  <si>
    <t>空气</t>
  </si>
  <si>
    <r>
      <t>H</t>
    </r>
    <r>
      <rPr>
        <sz val="8"/>
        <rFont val="宋体"/>
        <family val="3"/>
        <charset val="134"/>
      </rPr>
      <t>2</t>
    </r>
    <phoneticPr fontId="3" type="noConversion"/>
  </si>
  <si>
    <r>
      <t>S0</t>
    </r>
    <r>
      <rPr>
        <sz val="8"/>
        <rFont val="宋体"/>
        <family val="3"/>
        <charset val="134"/>
      </rPr>
      <t>2</t>
    </r>
    <phoneticPr fontId="3" type="noConversion"/>
  </si>
  <si>
    <r>
      <t>CH</t>
    </r>
    <r>
      <rPr>
        <sz val="9"/>
        <rFont val="宋体"/>
        <family val="3"/>
        <charset val="134"/>
      </rPr>
      <t>4</t>
    </r>
    <phoneticPr fontId="3" type="noConversion"/>
  </si>
  <si>
    <r>
      <t>C</t>
    </r>
    <r>
      <rPr>
        <sz val="9"/>
        <rFont val="宋体"/>
        <family val="3"/>
        <charset val="134"/>
      </rPr>
      <t>2</t>
    </r>
    <r>
      <rPr>
        <sz val="12"/>
        <rFont val="宋体"/>
        <family val="3"/>
        <charset val="134"/>
      </rPr>
      <t>H</t>
    </r>
    <r>
      <rPr>
        <sz val="9"/>
        <rFont val="宋体"/>
        <family val="3"/>
        <charset val="134"/>
      </rPr>
      <t>2</t>
    </r>
    <phoneticPr fontId="3" type="noConversion"/>
  </si>
  <si>
    <t>C2H6</t>
    <phoneticPr fontId="3" type="noConversion"/>
  </si>
  <si>
    <t>NH3</t>
    <phoneticPr fontId="3" type="noConversion"/>
  </si>
  <si>
    <t>C4H10</t>
    <phoneticPr fontId="3" type="noConversion"/>
  </si>
  <si>
    <t>C6H6</t>
    <phoneticPr fontId="3" type="noConversion"/>
  </si>
  <si>
    <t>一</t>
  </si>
  <si>
    <t>—</t>
  </si>
  <si>
    <t>定压体积比热容</t>
    <phoneticPr fontId="3" type="noConversion"/>
  </si>
  <si>
    <t>H20</t>
  </si>
  <si>
    <t>C02</t>
  </si>
  <si>
    <t>S02</t>
  </si>
  <si>
    <t>C2H2</t>
  </si>
  <si>
    <t>C2H6</t>
  </si>
  <si>
    <t>NH3</t>
  </si>
  <si>
    <t>C6H6</t>
  </si>
  <si>
    <t>温度</t>
  </si>
  <si>
    <t>定压体积比热容</t>
  </si>
  <si>
    <t>表1-26标准状态下lm3三原子气体、氮气、水蒸气、湿空气的体积焓和每kg飞灰的质量焓</t>
  </si>
  <si>
    <t>t/°C</t>
  </si>
  <si>
    <t>RO2</t>
    <phoneticPr fontId="3" type="noConversion"/>
  </si>
  <si>
    <t>N2</t>
    <phoneticPr fontId="3" type="noConversion"/>
  </si>
  <si>
    <t>H2O</t>
    <phoneticPr fontId="3" type="noConversion"/>
  </si>
  <si>
    <t>空气</t>
    <phoneticPr fontId="3" type="noConversion"/>
  </si>
  <si>
    <t>飞灰</t>
    <phoneticPr fontId="3" type="noConversion"/>
  </si>
  <si>
    <t>体积焓</t>
    <phoneticPr fontId="3" type="noConversion"/>
  </si>
  <si>
    <t xml:space="preserve">温度 </t>
    <phoneticPr fontId="3" type="noConversion"/>
  </si>
  <si>
    <t>co2</t>
    <phoneticPr fontId="3" type="noConversion"/>
  </si>
  <si>
    <t>O2</t>
    <phoneticPr fontId="3" type="noConversion"/>
  </si>
  <si>
    <t>干空气</t>
    <phoneticPr fontId="3" type="noConversion"/>
  </si>
  <si>
    <t>co</t>
    <phoneticPr fontId="3" type="noConversion"/>
  </si>
  <si>
    <t>h2</t>
    <phoneticPr fontId="3" type="noConversion"/>
  </si>
  <si>
    <t>H2S</t>
    <phoneticPr fontId="3" type="noConversion"/>
  </si>
  <si>
    <t>Ch4</t>
    <phoneticPr fontId="3" type="noConversion"/>
  </si>
  <si>
    <t>体积百分比 （空气）</t>
    <phoneticPr fontId="3" type="noConversion"/>
  </si>
  <si>
    <t>体积百分比 （窑尾）</t>
    <phoneticPr fontId="3" type="noConversion"/>
  </si>
  <si>
    <t>体积百分比 （玻璃）</t>
    <phoneticPr fontId="3" type="noConversion"/>
  </si>
  <si>
    <t>体积百分比 （电石）</t>
    <phoneticPr fontId="3" type="noConversion"/>
  </si>
  <si>
    <t>体积百分比 （烧结）</t>
    <phoneticPr fontId="3" type="noConversion"/>
  </si>
  <si>
    <t>体积百分比（工业硅）</t>
    <phoneticPr fontId="3" type="noConversion"/>
  </si>
  <si>
    <t>比较</t>
    <phoneticPr fontId="3" type="noConversion"/>
  </si>
  <si>
    <r>
      <t>空气k</t>
    </r>
    <r>
      <rPr>
        <sz val="12"/>
        <rFont val="宋体"/>
        <family val="3"/>
        <charset val="134"/>
      </rPr>
      <t>q</t>
    </r>
    <phoneticPr fontId="3" type="noConversion"/>
  </si>
  <si>
    <r>
      <t>窑尾s</t>
    </r>
    <r>
      <rPr>
        <sz val="12"/>
        <rFont val="宋体"/>
        <family val="3"/>
        <charset val="134"/>
      </rPr>
      <t>p</t>
    </r>
    <phoneticPr fontId="3" type="noConversion"/>
  </si>
  <si>
    <r>
      <t>玻璃b</t>
    </r>
    <r>
      <rPr>
        <sz val="12"/>
        <rFont val="宋体"/>
        <family val="3"/>
        <charset val="134"/>
      </rPr>
      <t>l</t>
    </r>
    <phoneticPr fontId="3" type="noConversion"/>
  </si>
  <si>
    <r>
      <t>电石d</t>
    </r>
    <r>
      <rPr>
        <sz val="12"/>
        <rFont val="宋体"/>
        <family val="3"/>
        <charset val="134"/>
      </rPr>
      <t>s</t>
    </r>
    <phoneticPr fontId="3" type="noConversion"/>
  </si>
  <si>
    <t>烧结sj</t>
    <phoneticPr fontId="3" type="noConversion"/>
  </si>
  <si>
    <t>硅g</t>
    <phoneticPr fontId="3" type="noConversion"/>
  </si>
  <si>
    <t>焓值</t>
    <phoneticPr fontId="3" type="noConversion"/>
  </si>
  <si>
    <t>高炉煤气综合利用发电工程总概算表</t>
  </si>
  <si>
    <t>表一甲</t>
  </si>
  <si>
    <t xml:space="preserve">   建设规模：1×18MW</t>
    <phoneticPr fontId="3" type="noConversion"/>
  </si>
  <si>
    <t xml:space="preserve">    万元</t>
    <phoneticPr fontId="3" type="noConversion"/>
  </si>
  <si>
    <t>工程或费用名称</t>
  </si>
  <si>
    <t>建筑工程费</t>
  </si>
  <si>
    <t>设备购置费</t>
  </si>
  <si>
    <t>安装工程费</t>
  </si>
  <si>
    <t>其它费用</t>
  </si>
  <si>
    <r>
      <t>各项占静态投资比例</t>
    </r>
    <r>
      <rPr>
        <b/>
        <sz val="10"/>
        <color indexed="8"/>
        <rFont val="宋体"/>
        <family val="3"/>
        <charset val="134"/>
      </rPr>
      <t>（</t>
    </r>
    <r>
      <rPr>
        <b/>
        <sz val="10"/>
        <rFont val="Times New Roman"/>
        <family val="1"/>
      </rPr>
      <t>%</t>
    </r>
    <r>
      <rPr>
        <b/>
        <sz val="10"/>
        <color indexed="8"/>
        <rFont val="宋体"/>
        <family val="3"/>
        <charset val="134"/>
      </rPr>
      <t>）</t>
    </r>
  </si>
  <si>
    <t>主辅生产工程</t>
  </si>
  <si>
    <t>（一）</t>
  </si>
  <si>
    <t>热力系统</t>
  </si>
  <si>
    <t>（二）</t>
  </si>
  <si>
    <t>燃料供应系统</t>
  </si>
  <si>
    <t>（三）</t>
  </si>
  <si>
    <t>化学水处理系统</t>
  </si>
  <si>
    <t>（四）</t>
  </si>
  <si>
    <t>供水系统</t>
  </si>
  <si>
    <t>（五）</t>
  </si>
  <si>
    <t>电气系统</t>
  </si>
  <si>
    <t>（六）</t>
  </si>
  <si>
    <t>热工控制系统</t>
  </si>
  <si>
    <t>（七）</t>
  </si>
  <si>
    <t>附属生产工程</t>
  </si>
  <si>
    <t>小     计</t>
  </si>
  <si>
    <t>二</t>
  </si>
  <si>
    <t>其他费用</t>
  </si>
  <si>
    <t>项目建设管理费</t>
  </si>
  <si>
    <t>项目建设技术服务费</t>
  </si>
  <si>
    <t>项目建设税费</t>
  </si>
  <si>
    <t>整套启动试运费</t>
  </si>
  <si>
    <t>大件运输措施费</t>
  </si>
  <si>
    <t>不可预见费</t>
  </si>
  <si>
    <t>三</t>
  </si>
  <si>
    <t>特殊项目</t>
  </si>
  <si>
    <t>工程静态投资</t>
  </si>
  <si>
    <t>各项占静态投资的比例 （%）</t>
  </si>
  <si>
    <t>各项占静态单位投资 （元/KW）</t>
  </si>
  <si>
    <t>西安陕鼓工程技术有限公司</t>
  </si>
  <si>
    <t>二零一四年四月</t>
    <phoneticPr fontId="3" type="noConversion"/>
  </si>
</sst>
</file>

<file path=xl/styles.xml><?xml version="1.0" encoding="utf-8"?>
<styleSheet xmlns="http://schemas.openxmlformats.org/spreadsheetml/2006/main">
  <numFmts count="32"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%"/>
    <numFmt numFmtId="178" formatCode="0.00_ "/>
    <numFmt numFmtId="179" formatCode="0_ "/>
    <numFmt numFmtId="180" formatCode="0.000_ "/>
    <numFmt numFmtId="181" formatCode="0.0000_ "/>
    <numFmt numFmtId="182" formatCode="&quot;¥&quot;#,##0;\-&quot;¥&quot;#,##0"/>
    <numFmt numFmtId="183" formatCode="_-* #,##0_-;\-* #,##0_-;_-* &quot;-&quot;_-;_-@_-"/>
    <numFmt numFmtId="184" formatCode="_-* #,##0.00_-;\-* #,##0.00_-;_-* &quot;-&quot;??_-;_-@_-"/>
    <numFmt numFmtId="185" formatCode="&quot;$&quot;#,##0_);\(&quot;$&quot;#,##0\)"/>
    <numFmt numFmtId="186" formatCode="&quot;$&quot;#,##0.00_);\(&quot;$&quot;#,##0.00\)"/>
    <numFmt numFmtId="187" formatCode="&quot;$&quot;#,##0.00_);[Red]\(&quot;$&quot;#,##0.00\)"/>
    <numFmt numFmtId="188" formatCode="_(&quot;$&quot;* #,##0_);_(&quot;$&quot;* \(#,##0\);_(&quot;$&quot;* &quot;-&quot;_);_(@_)"/>
    <numFmt numFmtId="189" formatCode="_(&quot;$&quot;* #,##0.00_);_(&quot;$&quot;* \(#,##0.00\);_(&quot;$&quot;* &quot;-&quot;??_);_(@_)"/>
    <numFmt numFmtId="190" formatCode="_-&quot;\&quot;* #,##0_-;\-&quot;\&quot;* #,##0_-;_-&quot;\&quot;* &quot;-&quot;_-;_-@_-"/>
    <numFmt numFmtId="191" formatCode="_-&quot;\&quot;* #,##0.00_-;\-&quot;\&quot;* #,##0.00_-;_-&quot;\&quot;* &quot;-&quot;??_-;_-@_-"/>
    <numFmt numFmtId="192" formatCode="m/d"/>
    <numFmt numFmtId="193" formatCode="##,#0&quot;?_);[Red]\(#,##0&quot;?\)"/>
    <numFmt numFmtId="194" formatCode="#,##0;\-#,##0;&quot;-&quot;"/>
    <numFmt numFmtId="195" formatCode="_(&quot;$&quot;* #,##0.0_);_(&quot;$&quot;* \(#,##0.0\);_(&quot;$&quot;* &quot;-&quot;??_);_(@_)"/>
    <numFmt numFmtId="196" formatCode="_(&quot;$&quot;* #,##0_);_(&quot;$&quot;* \(#,##0\);_(&quot;$&quot;* &quot;-&quot;??_);_(@_)"/>
    <numFmt numFmtId="197" formatCode="mm/dd/yy_)"/>
    <numFmt numFmtId="198" formatCode="mmm\ dd\,\ yy"/>
    <numFmt numFmtId="199" formatCode="0.000_);[Red]\(0.000\)"/>
    <numFmt numFmtId="200" formatCode="0.000000_);[Red]\(0.000000\)"/>
    <numFmt numFmtId="201" formatCode="0.000E+00"/>
    <numFmt numFmtId="202" formatCode="0.0000E+00"/>
    <numFmt numFmtId="203" formatCode="#,##0_ "/>
    <numFmt numFmtId="204" formatCode="0.00_);[Red]\(0.00\)"/>
    <numFmt numFmtId="205" formatCode="0.0_);[Red]\(0.0\)"/>
  </numFmts>
  <fonts count="114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color indexed="12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Times New Roman"/>
      <family val="1"/>
    </font>
    <font>
      <sz val="10"/>
      <name val="Arial"/>
      <family val="2"/>
    </font>
    <font>
      <b/>
      <sz val="11"/>
      <name val="Arial"/>
      <family val="2"/>
    </font>
    <font>
      <sz val="10"/>
      <name val="Helv"/>
      <family val="2"/>
    </font>
    <font>
      <sz val="13"/>
      <name val="Tms Rmn"/>
      <family val="1"/>
    </font>
    <font>
      <sz val="11"/>
      <color indexed="8"/>
      <name val="宋体"/>
      <family val="3"/>
      <charset val="134"/>
    </font>
    <font>
      <u/>
      <sz val="10"/>
      <color indexed="12"/>
      <name val="Arial"/>
      <family val="2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sz val="10"/>
      <color indexed="8"/>
      <name val="Arial"/>
      <family val="2"/>
    </font>
    <font>
      <b/>
      <sz val="13"/>
      <name val="Tms Rm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b/>
      <sz val="11"/>
      <name val="Helv"/>
      <family val="2"/>
    </font>
    <font>
      <sz val="12"/>
      <name val="Courier New"/>
      <family val="3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imes New Roman"/>
      <family val="1"/>
    </font>
    <font>
      <u/>
      <sz val="10"/>
      <color indexed="36"/>
      <name val="Arial"/>
      <family val="2"/>
    </font>
    <font>
      <sz val="12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Wingdings"/>
      <charset val="2"/>
    </font>
    <font>
      <sz val="24"/>
      <name val="Courier New"/>
      <family val="3"/>
    </font>
    <font>
      <b/>
      <sz val="20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黑体"/>
      <family val="3"/>
      <charset val="134"/>
    </font>
    <font>
      <sz val="8"/>
      <name val="MS Sans Serif"/>
      <family val="2"/>
    </font>
    <font>
      <b/>
      <sz val="8"/>
      <color indexed="8"/>
      <name val="Helv"/>
      <family val="2"/>
    </font>
    <font>
      <u val="doubleAccounting"/>
      <sz val="10"/>
      <name val="Arial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name val="蹈框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仿宋_GB2312"/>
      <family val="3"/>
      <charset val="134"/>
    </font>
    <font>
      <vertAlign val="superscript"/>
      <sz val="12"/>
      <name val="宋体"/>
      <family val="3"/>
      <charset val="134"/>
    </font>
    <font>
      <sz val="12"/>
      <color indexed="12"/>
      <name val="宋体"/>
      <family val="3"/>
      <charset val="134"/>
    </font>
    <font>
      <vertAlign val="subscript"/>
      <sz val="12"/>
      <name val="仿宋_GB2312"/>
      <family val="3"/>
      <charset val="134"/>
    </font>
    <font>
      <vertAlign val="subscript"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vertAlign val="superscript"/>
      <sz val="12"/>
      <name val="仿宋_GB2312"/>
      <family val="3"/>
      <charset val="134"/>
    </font>
    <font>
      <sz val="6"/>
      <name val="宋体"/>
      <family val="3"/>
      <charset val="134"/>
    </font>
    <font>
      <sz val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vertAlign val="superscript"/>
      <sz val="12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vertAlign val="subscript"/>
      <sz val="12"/>
      <color indexed="8"/>
      <name val="宋体"/>
      <family val="3"/>
      <charset val="134"/>
    </font>
    <font>
      <sz val="12"/>
      <color indexed="48"/>
      <name val="宋体"/>
      <family val="3"/>
      <charset val="134"/>
    </font>
    <font>
      <vertAlign val="superscript"/>
      <sz val="10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vertAlign val="superscript"/>
      <sz val="9"/>
      <name val="方正舒体"/>
      <family val="3"/>
      <charset val="134"/>
    </font>
    <font>
      <vertAlign val="superscript"/>
      <sz val="9"/>
      <color indexed="10"/>
      <name val="宋体"/>
      <family val="3"/>
      <charset val="134"/>
    </font>
    <font>
      <sz val="9"/>
      <color indexed="17"/>
      <name val="宋体"/>
      <family val="3"/>
      <charset val="134"/>
    </font>
    <font>
      <sz val="10"/>
      <color indexed="17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indexed="12"/>
      <name val="宋体"/>
      <family val="3"/>
      <charset val="134"/>
    </font>
    <font>
      <sz val="12"/>
      <color rgb="FFFF0000"/>
      <name val="宋体"/>
      <family val="3"/>
      <charset val="134"/>
    </font>
    <font>
      <vertAlign val="subscript"/>
      <sz val="12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FF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color indexed="10"/>
      <name val="仿宋_GB2312"/>
      <family val="3"/>
      <charset val="134"/>
    </font>
    <font>
      <sz val="10"/>
      <color indexed="12"/>
      <name val="宋体"/>
      <family val="3"/>
      <charset val="134"/>
    </font>
    <font>
      <sz val="12"/>
      <color indexed="12"/>
      <name val="仿宋_GB2312"/>
      <family val="3"/>
      <charset val="134"/>
    </font>
    <font>
      <vertAlign val="subscript"/>
      <sz val="12"/>
      <name val="Times New Roman"/>
      <family val="1"/>
    </font>
    <font>
      <sz val="24"/>
      <color rgb="FFFF0000"/>
      <name val="宋体"/>
      <family val="3"/>
      <charset val="134"/>
    </font>
    <font>
      <sz val="11"/>
      <name val="Times New Roman"/>
      <family val="1"/>
    </font>
    <font>
      <b/>
      <sz val="11"/>
      <color indexed="10"/>
      <name val="宋体"/>
      <family val="3"/>
      <charset val="134"/>
    </font>
    <font>
      <b/>
      <sz val="12"/>
      <color indexed="12"/>
      <name val="宋体"/>
      <family val="3"/>
      <charset val="134"/>
    </font>
    <font>
      <vertAlign val="subscript"/>
      <sz val="11"/>
      <name val="宋体"/>
      <family val="3"/>
      <charset val="134"/>
    </font>
    <font>
      <b/>
      <sz val="14"/>
      <color indexed="10"/>
      <name val="宋体"/>
      <family val="3"/>
      <charset val="134"/>
    </font>
    <font>
      <sz val="11"/>
      <color indexed="14"/>
      <name val="宋体"/>
      <family val="3"/>
      <charset val="134"/>
    </font>
    <font>
      <sz val="10"/>
      <color indexed="9"/>
      <name val="宋体"/>
      <family val="3"/>
      <charset val="134"/>
    </font>
    <font>
      <vertAlign val="superscript"/>
      <sz val="11"/>
      <name val="宋体"/>
      <family val="3"/>
      <charset val="134"/>
    </font>
    <font>
      <b/>
      <sz val="16"/>
      <name val="宋体"/>
      <family val="3"/>
      <charset val="134"/>
    </font>
    <font>
      <u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  <font>
      <b/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b/>
      <sz val="12"/>
      <name val="Times New Roman"/>
      <family val="1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6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darkVertical"/>
    </fill>
    <fill>
      <patternFill patternType="solid">
        <fgColor indexed="9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4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6">
    <xf numFmtId="0" fontId="0" fillId="0" borderId="0">
      <alignment vertical="center"/>
    </xf>
    <xf numFmtId="0" fontId="12" fillId="0" borderId="0" applyNumberFormat="0" applyFill="0" applyBorder="0" applyAlignment="0" applyProtection="0"/>
    <xf numFmtId="0" fontId="11" fillId="0" borderId="0"/>
    <xf numFmtId="0" fontId="10" fillId="0" borderId="0"/>
    <xf numFmtId="0" fontId="10" fillId="0" borderId="0"/>
    <xf numFmtId="0" fontId="11" fillId="0" borderId="0"/>
    <xf numFmtId="0" fontId="13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188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0" fillId="0" borderId="0" applyFont="0" applyBorder="0" applyAlignment="0"/>
    <xf numFmtId="177" fontId="14" fillId="0" borderId="0" applyFont="0" applyFill="0" applyBorder="0" applyAlignment="0" applyProtection="0"/>
    <xf numFmtId="10" fontId="14" fillId="0" borderId="0" applyFon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9" fontId="11" fillId="8" borderId="0" applyFill="0"/>
    <xf numFmtId="0" fontId="16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0" borderId="0">
      <alignment horizontal="center" wrapText="1"/>
      <protection locked="0"/>
    </xf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94" fontId="19" fillId="0" borderId="0" applyFill="0" applyBorder="0" applyAlignment="0"/>
    <xf numFmtId="0" fontId="20" fillId="0" borderId="1" applyNumberFormat="0" applyFill="0" applyProtection="0">
      <alignment horizontal="center"/>
    </xf>
    <xf numFmtId="37" fontId="14" fillId="0" borderId="0" applyFont="0" applyFill="0" applyBorder="0" applyAlignment="0" applyProtection="0"/>
    <xf numFmtId="186" fontId="2" fillId="0" borderId="0" applyFont="0" applyFill="0" applyBorder="0" applyAlignment="0" applyProtection="0"/>
    <xf numFmtId="39" fontId="14" fillId="0" borderId="0" applyFont="0" applyFill="0" applyBorder="0" applyAlignment="0" applyProtection="0"/>
    <xf numFmtId="0" fontId="21" fillId="0" borderId="0" applyNumberFormat="0" applyAlignment="0">
      <alignment horizontal="left"/>
    </xf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0" fontId="22" fillId="0" borderId="0" applyNumberFormat="0" applyAlignment="0">
      <alignment horizontal="left"/>
    </xf>
    <xf numFmtId="38" fontId="23" fillId="17" borderId="0" applyNumberFormat="0" applyBorder="0" applyAlignment="0" applyProtection="0"/>
    <xf numFmtId="0" fontId="24" fillId="0" borderId="2" applyNumberFormat="0" applyAlignment="0" applyProtection="0">
      <alignment horizontal="left" vertical="center"/>
    </xf>
    <xf numFmtId="0" fontId="24" fillId="0" borderId="3">
      <alignment horizontal="left" vertical="center"/>
    </xf>
    <xf numFmtId="0" fontId="25" fillId="0" borderId="4">
      <alignment horizontal="center"/>
    </xf>
    <xf numFmtId="0" fontId="25" fillId="0" borderId="0">
      <alignment horizontal="center"/>
    </xf>
    <xf numFmtId="10" fontId="23" fillId="18" borderId="5" applyNumberFormat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26" fillId="0" borderId="4"/>
    <xf numFmtId="188" fontId="11" fillId="0" borderId="0" applyFont="0" applyFill="0" applyBorder="0" applyAlignment="0" applyProtection="0"/>
    <xf numFmtId="189" fontId="11" fillId="0" borderId="0" applyFont="0" applyFill="0" applyBorder="0" applyAlignment="0" applyProtection="0"/>
    <xf numFmtId="0" fontId="27" fillId="19" borderId="5" applyNumberFormat="0" applyFont="0" applyBorder="0" applyAlignment="0" applyProtection="0">
      <alignment vertical="center"/>
    </xf>
    <xf numFmtId="37" fontId="28" fillId="0" borderId="0"/>
    <xf numFmtId="0" fontId="29" fillId="0" borderId="0"/>
    <xf numFmtId="0" fontId="30" fillId="0" borderId="0"/>
    <xf numFmtId="0" fontId="12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14" fontId="18" fillId="0" borderId="0">
      <alignment horizontal="center" wrapText="1"/>
      <protection locked="0"/>
    </xf>
    <xf numFmtId="10" fontId="11" fillId="0" borderId="0" applyFont="0" applyFill="0" applyBorder="0" applyAlignment="0" applyProtection="0"/>
    <xf numFmtId="0" fontId="32" fillId="0" borderId="0"/>
    <xf numFmtId="0" fontId="33" fillId="0" borderId="0" applyNumberFormat="0">
      <alignment horizontal="left"/>
    </xf>
    <xf numFmtId="0" fontId="33" fillId="0" borderId="0" applyNumberFormat="0" applyFont="0" applyFill="0" applyBorder="0" applyAlignment="0" applyProtection="0">
      <alignment horizontal="left"/>
    </xf>
    <xf numFmtId="0" fontId="34" fillId="0" borderId="4">
      <alignment horizontal="center"/>
    </xf>
    <xf numFmtId="0" fontId="35" fillId="20" borderId="0" applyNumberFormat="0" applyFont="0" applyBorder="0" applyAlignment="0">
      <alignment horizontal="center"/>
    </xf>
    <xf numFmtId="0" fontId="36" fillId="0" borderId="5" applyProtection="0">
      <alignment vertical="center"/>
    </xf>
    <xf numFmtId="182" fontId="2" fillId="0" borderId="0" applyNumberFormat="0" applyFill="0" applyBorder="0" applyAlignment="0" applyProtection="0">
      <alignment horizontal="left"/>
    </xf>
    <xf numFmtId="49" fontId="37" fillId="21" borderId="0">
      <alignment horizontal="center" vertical="center"/>
    </xf>
    <xf numFmtId="49" fontId="38" fillId="21" borderId="0">
      <alignment horizontal="left" vertical="top"/>
    </xf>
    <xf numFmtId="49" fontId="38" fillId="21" borderId="0">
      <alignment horizontal="right" vertical="top"/>
    </xf>
    <xf numFmtId="49" fontId="39" fillId="21" borderId="0">
      <alignment horizontal="center" vertical="center"/>
    </xf>
    <xf numFmtId="49" fontId="38" fillId="21" borderId="0">
      <alignment horizontal="center" vertical="center"/>
    </xf>
    <xf numFmtId="49" fontId="38" fillId="21" borderId="0">
      <alignment horizontal="left" vertical="center"/>
    </xf>
    <xf numFmtId="49" fontId="38" fillId="21" borderId="0">
      <alignment horizontal="right" vertical="center"/>
    </xf>
    <xf numFmtId="0" fontId="35" fillId="1" borderId="3" applyNumberFormat="0" applyFont="0" applyAlignment="0">
      <alignment horizontal="center"/>
    </xf>
    <xf numFmtId="0" fontId="40" fillId="0" borderId="0" applyNumberFormat="0" applyFill="0" applyBorder="0" applyAlignment="0">
      <alignment horizontal="center"/>
    </xf>
    <xf numFmtId="0" fontId="33" fillId="0" borderId="0"/>
    <xf numFmtId="0" fontId="33" fillId="0" borderId="0"/>
    <xf numFmtId="40" fontId="41" fillId="0" borderId="0" applyBorder="0">
      <alignment horizontal="right"/>
    </xf>
    <xf numFmtId="191" fontId="42" fillId="0" borderId="0"/>
    <xf numFmtId="192" fontId="11" fillId="0" borderId="0" applyFont="0" applyFill="0" applyBorder="0" applyAlignment="0" applyProtection="0"/>
    <xf numFmtId="193" fontId="11" fillId="0" borderId="0" applyFont="0" applyFill="0" applyBorder="0" applyAlignment="0" applyProtection="0"/>
    <xf numFmtId="0" fontId="11" fillId="0" borderId="0"/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center"/>
    </xf>
    <xf numFmtId="0" fontId="44" fillId="0" borderId="6" applyNumberFormat="0" applyFill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24" borderId="10" applyNumberFormat="0" applyAlignment="0" applyProtection="0">
      <alignment vertical="center"/>
    </xf>
    <xf numFmtId="0" fontId="51" fillId="25" borderId="1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196" fontId="2" fillId="0" borderId="0" applyFont="0" applyFill="0" applyBorder="0" applyAlignment="0" applyProtection="0"/>
    <xf numFmtId="198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0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0" fontId="30" fillId="0" borderId="0"/>
    <xf numFmtId="41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183" fontId="2" fillId="0" borderId="0" applyFont="0" applyFill="0" applyBorder="0" applyAlignment="0" applyProtection="0"/>
    <xf numFmtId="184" fontId="2" fillId="0" borderId="0" applyFont="0" applyFill="0" applyBorder="0" applyAlignment="0" applyProtection="0"/>
    <xf numFmtId="0" fontId="55" fillId="0" borderId="0"/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7" fillId="24" borderId="13" applyNumberFormat="0" applyAlignment="0" applyProtection="0">
      <alignment vertical="center"/>
    </xf>
    <xf numFmtId="0" fontId="58" fillId="7" borderId="10" applyNumberFormat="0" applyAlignment="0" applyProtection="0">
      <alignment vertical="center"/>
    </xf>
    <xf numFmtId="0" fontId="10" fillId="0" borderId="0"/>
    <xf numFmtId="0" fontId="2" fillId="0" borderId="0"/>
    <xf numFmtId="0" fontId="2" fillId="31" borderId="14" applyNumberFormat="0" applyFont="0" applyAlignment="0" applyProtection="0">
      <alignment vertical="center"/>
    </xf>
    <xf numFmtId="0" fontId="89" fillId="0" borderId="0"/>
    <xf numFmtId="0" fontId="2" fillId="0" borderId="0"/>
    <xf numFmtId="0" fontId="2" fillId="0" borderId="0"/>
    <xf numFmtId="0" fontId="2" fillId="0" borderId="0"/>
    <xf numFmtId="0" fontId="15" fillId="0" borderId="0">
      <alignment vertical="center"/>
    </xf>
  </cellStyleXfs>
  <cellXfs count="598">
    <xf numFmtId="0" fontId="0" fillId="0" borderId="0" xfId="0">
      <alignment vertical="center"/>
    </xf>
    <xf numFmtId="0" fontId="0" fillId="0" borderId="0" xfId="0" applyBorder="1">
      <alignment vertical="center"/>
    </xf>
    <xf numFmtId="0" fontId="61" fillId="0" borderId="0" xfId="0" applyFont="1">
      <alignment vertical="center"/>
    </xf>
    <xf numFmtId="0" fontId="5" fillId="0" borderId="0" xfId="0" applyFont="1">
      <alignment vertical="center"/>
    </xf>
    <xf numFmtId="0" fontId="59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33" borderId="0" xfId="0" applyFill="1">
      <alignment vertical="center"/>
    </xf>
    <xf numFmtId="0" fontId="0" fillId="22" borderId="0" xfId="0" applyFill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1" fillId="0" borderId="0" xfId="0" applyFont="1" applyBorder="1">
      <alignment vertical="center"/>
    </xf>
    <xf numFmtId="0" fontId="5" fillId="33" borderId="0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32" borderId="5" xfId="0" applyFill="1" applyBorder="1">
      <alignment vertical="center"/>
    </xf>
    <xf numFmtId="179" fontId="61" fillId="0" borderId="5" xfId="0" applyNumberFormat="1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5" xfId="0" applyFill="1" applyBorder="1">
      <alignment vertical="center"/>
    </xf>
    <xf numFmtId="179" fontId="0" fillId="0" borderId="5" xfId="0" applyNumberFormat="1" applyBorder="1">
      <alignment vertical="center"/>
    </xf>
    <xf numFmtId="0" fontId="2" fillId="0" borderId="5" xfId="0" applyFont="1" applyBorder="1">
      <alignment vertical="center"/>
    </xf>
    <xf numFmtId="176" fontId="0" fillId="0" borderId="5" xfId="0" applyNumberFormat="1" applyBorder="1">
      <alignment vertical="center"/>
    </xf>
    <xf numFmtId="176" fontId="61" fillId="0" borderId="5" xfId="0" applyNumberFormat="1" applyFont="1" applyFill="1" applyBorder="1">
      <alignment vertical="center"/>
    </xf>
    <xf numFmtId="0" fontId="61" fillId="0" borderId="5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5" xfId="0" applyFont="1" applyFill="1" applyBorder="1">
      <alignment vertical="center"/>
    </xf>
    <xf numFmtId="179" fontId="0" fillId="0" borderId="5" xfId="0" applyNumberFormat="1" applyFill="1" applyBorder="1">
      <alignment vertical="center"/>
    </xf>
    <xf numFmtId="0" fontId="2" fillId="0" borderId="5" xfId="0" applyFont="1" applyFill="1" applyBorder="1">
      <alignment vertical="center"/>
    </xf>
    <xf numFmtId="178" fontId="0" fillId="0" borderId="5" xfId="0" applyNumberFormat="1" applyFill="1" applyBorder="1">
      <alignment vertical="center"/>
    </xf>
    <xf numFmtId="0" fontId="68" fillId="0" borderId="19" xfId="115" applyFont="1" applyBorder="1" applyAlignment="1">
      <alignment horizontal="center" vertical="center"/>
    </xf>
    <xf numFmtId="0" fontId="68" fillId="0" borderId="20" xfId="115" applyFont="1" applyBorder="1" applyAlignment="1">
      <alignment vertical="center"/>
    </xf>
    <xf numFmtId="0" fontId="68" fillId="0" borderId="20" xfId="115" applyFont="1" applyBorder="1" applyAlignment="1">
      <alignment horizontal="center" vertical="center"/>
    </xf>
    <xf numFmtId="0" fontId="68" fillId="0" borderId="20" xfId="115" applyFont="1" applyFill="1" applyBorder="1" applyAlignment="1">
      <alignment horizontal="center" vertical="center"/>
    </xf>
    <xf numFmtId="199" fontId="68" fillId="0" borderId="20" xfId="115" applyNumberFormat="1" applyFont="1" applyFill="1" applyBorder="1" applyAlignment="1">
      <alignment horizontal="center" vertical="center"/>
    </xf>
    <xf numFmtId="0" fontId="69" fillId="0" borderId="0" xfId="115" applyFont="1" applyBorder="1" applyAlignment="1">
      <alignment vertical="center"/>
    </xf>
    <xf numFmtId="0" fontId="69" fillId="0" borderId="15" xfId="115" applyFont="1" applyBorder="1" applyAlignment="1">
      <alignment horizontal="center" vertical="center"/>
    </xf>
    <xf numFmtId="0" fontId="69" fillId="0" borderId="5" xfId="115" applyFont="1" applyBorder="1" applyAlignment="1">
      <alignment vertical="center"/>
    </xf>
    <xf numFmtId="0" fontId="69" fillId="0" borderId="5" xfId="115" applyFont="1" applyBorder="1" applyAlignment="1">
      <alignment horizontal="center" vertical="center"/>
    </xf>
    <xf numFmtId="199" fontId="69" fillId="0" borderId="5" xfId="115" applyNumberFormat="1" applyFont="1" applyBorder="1" applyAlignment="1">
      <alignment horizontal="center" vertical="center"/>
    </xf>
    <xf numFmtId="0" fontId="69" fillId="0" borderId="15" xfId="115" applyFont="1" applyFill="1" applyBorder="1" applyAlignment="1">
      <alignment horizontal="center" vertical="center"/>
    </xf>
    <xf numFmtId="0" fontId="68" fillId="0" borderId="5" xfId="115" applyFont="1" applyFill="1" applyBorder="1" applyAlignment="1">
      <alignment vertical="center"/>
    </xf>
    <xf numFmtId="0" fontId="69" fillId="0" borderId="5" xfId="115" applyFont="1" applyFill="1" applyBorder="1" applyAlignment="1">
      <alignment horizontal="center" vertical="center"/>
    </xf>
    <xf numFmtId="199" fontId="69" fillId="0" borderId="5" xfId="115" applyNumberFormat="1" applyFont="1" applyFill="1" applyBorder="1" applyAlignment="1">
      <alignment horizontal="center" vertical="center"/>
    </xf>
    <xf numFmtId="0" fontId="68" fillId="0" borderId="15" xfId="115" applyFont="1" applyFill="1" applyBorder="1" applyAlignment="1">
      <alignment horizontal="center" vertical="center"/>
    </xf>
    <xf numFmtId="0" fontId="2" fillId="0" borderId="5" xfId="115" applyFont="1" applyBorder="1" applyAlignment="1">
      <alignment horizontal="center" vertical="center"/>
    </xf>
    <xf numFmtId="178" fontId="69" fillId="34" borderId="5" xfId="115" applyNumberFormat="1" applyFont="1" applyFill="1" applyBorder="1" applyAlignment="1" applyProtection="1">
      <alignment horizontal="center" vertical="center"/>
      <protection locked="0"/>
    </xf>
    <xf numFmtId="0" fontId="68" fillId="0" borderId="15" xfId="115" applyFont="1" applyBorder="1" applyAlignment="1">
      <alignment horizontal="center" vertical="center"/>
    </xf>
    <xf numFmtId="0" fontId="68" fillId="0" borderId="5" xfId="115" applyFont="1" applyBorder="1" applyAlignment="1">
      <alignment vertical="center"/>
    </xf>
    <xf numFmtId="0" fontId="2" fillId="0" borderId="5" xfId="115" applyFont="1" applyFill="1" applyBorder="1" applyAlignment="1">
      <alignment horizontal="center" vertical="center"/>
    </xf>
    <xf numFmtId="200" fontId="69" fillId="0" borderId="5" xfId="115" applyNumberFormat="1" applyFont="1" applyBorder="1" applyAlignment="1">
      <alignment horizontal="center" vertical="center"/>
    </xf>
    <xf numFmtId="0" fontId="2" fillId="0" borderId="5" xfId="115" applyFont="1" applyFill="1" applyBorder="1" applyAlignment="1">
      <alignment vertical="center"/>
    </xf>
    <xf numFmtId="0" fontId="69" fillId="0" borderId="5" xfId="115" applyFont="1" applyBorder="1" applyAlignment="1">
      <alignment horizontal="right" vertical="center"/>
    </xf>
    <xf numFmtId="0" fontId="2" fillId="0" borderId="5" xfId="115" applyFont="1" applyBorder="1" applyAlignment="1">
      <alignment vertical="center"/>
    </xf>
    <xf numFmtId="199" fontId="2" fillId="0" borderId="5" xfId="115" applyNumberFormat="1" applyFont="1" applyBorder="1" applyAlignment="1">
      <alignment horizontal="center" vertical="center"/>
    </xf>
    <xf numFmtId="0" fontId="10" fillId="0" borderId="5" xfId="115" applyFont="1" applyFill="1" applyBorder="1" applyAlignment="1">
      <alignment vertical="center"/>
    </xf>
    <xf numFmtId="199" fontId="71" fillId="0" borderId="5" xfId="115" applyNumberFormat="1" applyFont="1" applyFill="1" applyBorder="1" applyAlignment="1">
      <alignment horizontal="center" vertical="center"/>
    </xf>
    <xf numFmtId="0" fontId="2" fillId="0" borderId="0" xfId="115" applyFont="1" applyFill="1" applyBorder="1" applyAlignment="1">
      <alignment vertical="center"/>
    </xf>
    <xf numFmtId="0" fontId="72" fillId="0" borderId="5" xfId="115" applyFont="1" applyFill="1" applyBorder="1" applyAlignment="1">
      <alignment vertical="center"/>
    </xf>
    <xf numFmtId="199" fontId="2" fillId="0" borderId="5" xfId="115" applyNumberFormat="1" applyFont="1" applyFill="1" applyBorder="1" applyAlignment="1">
      <alignment horizontal="center" vertical="center"/>
    </xf>
    <xf numFmtId="199" fontId="71" fillId="0" borderId="5" xfId="115" applyNumberFormat="1" applyFont="1" applyBorder="1" applyAlignment="1">
      <alignment horizontal="center" vertical="center"/>
    </xf>
    <xf numFmtId="199" fontId="69" fillId="0" borderId="21" xfId="115" applyNumberFormat="1" applyFont="1" applyFill="1" applyBorder="1" applyAlignment="1">
      <alignment horizontal="center" vertical="center"/>
    </xf>
    <xf numFmtId="199" fontId="69" fillId="0" borderId="22" xfId="115" applyNumberFormat="1" applyFont="1" applyBorder="1" applyAlignment="1">
      <alignment horizontal="center" vertical="center"/>
    </xf>
    <xf numFmtId="199" fontId="69" fillId="0" borderId="23" xfId="115" applyNumberFormat="1" applyFont="1" applyBorder="1" applyAlignment="1">
      <alignment horizontal="center" vertical="center"/>
    </xf>
    <xf numFmtId="0" fontId="2" fillId="0" borderId="5" xfId="115" applyFont="1" applyFill="1" applyBorder="1" applyAlignment="1">
      <alignment horizontal="left" vertical="center"/>
    </xf>
    <xf numFmtId="0" fontId="72" fillId="0" borderId="18" xfId="115" applyFont="1" applyFill="1" applyBorder="1" applyAlignment="1">
      <alignment horizontal="center" vertical="center"/>
    </xf>
    <xf numFmtId="0" fontId="72" fillId="0" borderId="24" xfId="115" applyFont="1" applyFill="1" applyBorder="1" applyAlignment="1">
      <alignment vertical="center"/>
    </xf>
    <xf numFmtId="0" fontId="2" fillId="0" borderId="24" xfId="115" applyFont="1" applyFill="1" applyBorder="1" applyAlignment="1">
      <alignment horizontal="center" vertical="center"/>
    </xf>
    <xf numFmtId="199" fontId="2" fillId="0" borderId="24" xfId="115" applyNumberFormat="1" applyFont="1" applyFill="1" applyBorder="1" applyAlignment="1">
      <alignment horizontal="center" vertical="center"/>
    </xf>
    <xf numFmtId="0" fontId="69" fillId="0" borderId="0" xfId="115" applyFont="1" applyBorder="1" applyAlignment="1">
      <alignment horizontal="center" vertical="center"/>
    </xf>
    <xf numFmtId="199" fontId="69" fillId="0" borderId="0" xfId="115" applyNumberFormat="1" applyFont="1" applyBorder="1" applyAlignment="1">
      <alignment horizontal="center" vertical="center"/>
    </xf>
    <xf numFmtId="0" fontId="68" fillId="0" borderId="5" xfId="115" applyFont="1" applyBorder="1" applyAlignment="1">
      <alignment horizontal="center" vertical="center"/>
    </xf>
    <xf numFmtId="0" fontId="68" fillId="0" borderId="5" xfId="115" applyFont="1" applyFill="1" applyBorder="1" applyAlignment="1">
      <alignment horizontal="center" vertical="center"/>
    </xf>
    <xf numFmtId="199" fontId="68" fillId="0" borderId="5" xfId="115" applyNumberFormat="1" applyFont="1" applyBorder="1" applyAlignment="1">
      <alignment horizontal="center" vertical="center"/>
    </xf>
    <xf numFmtId="0" fontId="69" fillId="0" borderId="0" xfId="115" applyFont="1" applyBorder="1" applyAlignment="1">
      <alignment horizontal="left" vertical="center"/>
    </xf>
    <xf numFmtId="199" fontId="69" fillId="0" borderId="5" xfId="115" applyNumberFormat="1" applyFont="1" applyBorder="1" applyAlignment="1">
      <alignment vertical="center"/>
    </xf>
    <xf numFmtId="0" fontId="69" fillId="0" borderId="0" xfId="115" applyFont="1" applyFill="1" applyBorder="1" applyAlignment="1">
      <alignment horizontal="center" vertical="center"/>
    </xf>
    <xf numFmtId="0" fontId="69" fillId="0" borderId="0" xfId="115" applyFont="1" applyFill="1" applyBorder="1" applyAlignment="1">
      <alignment vertical="center"/>
    </xf>
    <xf numFmtId="2" fontId="69" fillId="0" borderId="0" xfId="115" applyNumberFormat="1" applyFont="1" applyBorder="1" applyAlignment="1">
      <alignment horizontal="center" vertical="center"/>
    </xf>
    <xf numFmtId="178" fontId="69" fillId="0" borderId="0" xfId="115" applyNumberFormat="1" applyFont="1" applyBorder="1" applyAlignment="1">
      <alignment horizontal="center" vertical="center"/>
    </xf>
    <xf numFmtId="180" fontId="5" fillId="0" borderId="0" xfId="115" applyNumberFormat="1" applyFont="1" applyBorder="1" applyAlignment="1">
      <alignment horizontal="center" vertical="center"/>
    </xf>
    <xf numFmtId="199" fontId="69" fillId="34" borderId="5" xfId="115" applyNumberFormat="1" applyFont="1" applyFill="1" applyBorder="1" applyAlignment="1" applyProtection="1">
      <alignment horizontal="center" vertical="center"/>
      <protection locked="0"/>
    </xf>
    <xf numFmtId="0" fontId="5" fillId="0" borderId="0" xfId="115" applyFont="1" applyBorder="1" applyAlignment="1">
      <alignment horizontal="center" vertical="center"/>
    </xf>
    <xf numFmtId="178" fontId="5" fillId="0" borderId="0" xfId="115" applyNumberFormat="1" applyFont="1" applyBorder="1" applyAlignment="1">
      <alignment horizontal="center" vertical="center"/>
    </xf>
    <xf numFmtId="180" fontId="69" fillId="0" borderId="0" xfId="115" applyNumberFormat="1" applyFont="1" applyBorder="1" applyAlignment="1">
      <alignment horizontal="center" vertical="center"/>
    </xf>
    <xf numFmtId="180" fontId="69" fillId="0" borderId="0" xfId="115" applyNumberFormat="1" applyFont="1" applyBorder="1" applyAlignment="1">
      <alignment vertical="center"/>
    </xf>
    <xf numFmtId="178" fontId="69" fillId="0" borderId="0" xfId="115" applyNumberFormat="1" applyFont="1" applyBorder="1" applyAlignment="1">
      <alignment vertical="center"/>
    </xf>
    <xf numFmtId="178" fontId="5" fillId="0" borderId="0" xfId="115" applyNumberFormat="1" applyFont="1" applyBorder="1" applyAlignment="1">
      <alignment vertical="center"/>
    </xf>
    <xf numFmtId="0" fontId="2" fillId="0" borderId="0" xfId="115" applyFont="1" applyBorder="1" applyAlignment="1">
      <alignment horizontal="center" vertical="center"/>
    </xf>
    <xf numFmtId="0" fontId="2" fillId="0" borderId="0" xfId="115" applyFont="1" applyBorder="1" applyAlignment="1">
      <alignment vertical="center"/>
    </xf>
    <xf numFmtId="181" fontId="69" fillId="0" borderId="0" xfId="115" applyNumberFormat="1" applyFont="1" applyBorder="1" applyAlignment="1">
      <alignment horizontal="center" vertical="center"/>
    </xf>
    <xf numFmtId="181" fontId="69" fillId="0" borderId="0" xfId="115" applyNumberFormat="1" applyFont="1" applyBorder="1" applyAlignment="1">
      <alignment vertical="center"/>
    </xf>
    <xf numFmtId="0" fontId="2" fillId="0" borderId="5" xfId="115" applyFont="1" applyFill="1" applyBorder="1" applyAlignment="1">
      <alignment vertical="center" wrapText="1"/>
    </xf>
    <xf numFmtId="0" fontId="72" fillId="0" borderId="5" xfId="115" applyFont="1" applyFill="1" applyBorder="1" applyAlignment="1">
      <alignment horizontal="center" vertical="center"/>
    </xf>
    <xf numFmtId="0" fontId="5" fillId="0" borderId="0" xfId="115" applyFont="1" applyBorder="1" applyAlignment="1">
      <alignment vertical="center"/>
    </xf>
    <xf numFmtId="0" fontId="72" fillId="0" borderId="17" xfId="115" applyFont="1" applyFill="1" applyBorder="1" applyAlignment="1">
      <alignment horizontal="center" vertical="center"/>
    </xf>
    <xf numFmtId="0" fontId="2" fillId="0" borderId="17" xfId="115" applyFont="1" applyFill="1" applyBorder="1" applyAlignment="1">
      <alignment vertical="center"/>
    </xf>
    <xf numFmtId="0" fontId="2" fillId="0" borderId="17" xfId="115" applyFont="1" applyFill="1" applyBorder="1" applyAlignment="1">
      <alignment horizontal="center" vertical="center"/>
    </xf>
    <xf numFmtId="199" fontId="2" fillId="0" borderId="17" xfId="115" applyNumberFormat="1" applyFont="1" applyFill="1" applyBorder="1" applyAlignment="1">
      <alignment horizontal="center" vertical="center"/>
    </xf>
    <xf numFmtId="199" fontId="72" fillId="0" borderId="5" xfId="115" applyNumberFormat="1" applyFont="1" applyFill="1" applyBorder="1" applyAlignment="1">
      <alignment horizontal="center" vertical="center"/>
    </xf>
    <xf numFmtId="0" fontId="10" fillId="0" borderId="5" xfId="115" applyFont="1" applyFill="1" applyBorder="1" applyAlignment="1">
      <alignment vertical="center" wrapText="1"/>
    </xf>
    <xf numFmtId="0" fontId="68" fillId="0" borderId="0" xfId="115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35" borderId="0" xfId="0" applyFill="1" applyBorder="1">
      <alignment vertical="center"/>
    </xf>
    <xf numFmtId="199" fontId="69" fillId="33" borderId="5" xfId="115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7" xfId="0" applyBorder="1">
      <alignment vertical="center"/>
    </xf>
    <xf numFmtId="0" fontId="61" fillId="0" borderId="17" xfId="0" applyFont="1" applyFill="1" applyBorder="1">
      <alignment vertical="center"/>
    </xf>
    <xf numFmtId="0" fontId="5" fillId="34" borderId="5" xfId="0" applyFont="1" applyFill="1" applyBorder="1" applyAlignment="1">
      <alignment horizontal="center" vertical="center"/>
    </xf>
    <xf numFmtId="179" fontId="0" fillId="36" borderId="5" xfId="0" applyNumberFormat="1" applyFill="1" applyBorder="1">
      <alignment vertical="center"/>
    </xf>
    <xf numFmtId="0" fontId="0" fillId="36" borderId="5" xfId="0" applyFill="1" applyBorder="1">
      <alignment vertical="center"/>
    </xf>
    <xf numFmtId="0" fontId="74" fillId="0" borderId="5" xfId="0" applyFont="1" applyFill="1" applyBorder="1">
      <alignment vertical="center"/>
    </xf>
    <xf numFmtId="0" fontId="0" fillId="0" borderId="5" xfId="0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8" fillId="0" borderId="0" xfId="0" applyFont="1" applyBorder="1">
      <alignment vertical="center"/>
    </xf>
    <xf numFmtId="0" fontId="5" fillId="36" borderId="5" xfId="0" applyFont="1" applyFill="1" applyBorder="1">
      <alignment vertical="center"/>
    </xf>
    <xf numFmtId="178" fontId="0" fillId="0" borderId="5" xfId="0" applyNumberFormat="1" applyBorder="1">
      <alignment vertical="center"/>
    </xf>
    <xf numFmtId="178" fontId="5" fillId="0" borderId="5" xfId="0" applyNumberFormat="1" applyFont="1" applyBorder="1">
      <alignment vertical="center"/>
    </xf>
    <xf numFmtId="178" fontId="0" fillId="35" borderId="5" xfId="0" applyNumberFormat="1" applyFill="1" applyBorder="1">
      <alignment vertical="center"/>
    </xf>
    <xf numFmtId="178" fontId="0" fillId="36" borderId="5" xfId="0" applyNumberFormat="1" applyFill="1" applyBorder="1">
      <alignment vertical="center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59" fillId="0" borderId="5" xfId="0" applyFont="1" applyFill="1" applyBorder="1" applyAlignment="1">
      <alignment horizontal="center" vertical="center" wrapText="1"/>
    </xf>
    <xf numFmtId="0" fontId="0" fillId="0" borderId="25" xfId="0" applyBorder="1">
      <alignment vertical="center"/>
    </xf>
    <xf numFmtId="0" fontId="0" fillId="32" borderId="26" xfId="0" applyFill="1" applyBorder="1">
      <alignment vertical="center"/>
    </xf>
    <xf numFmtId="0" fontId="0" fillId="32" borderId="27" xfId="0" applyFill="1" applyBorder="1">
      <alignment vertical="center"/>
    </xf>
    <xf numFmtId="0" fontId="61" fillId="0" borderId="27" xfId="0" applyFont="1" applyBorder="1">
      <alignment vertical="center"/>
    </xf>
    <xf numFmtId="0" fontId="0" fillId="0" borderId="27" xfId="0" applyFill="1" applyBorder="1" applyAlignment="1">
      <alignment horizontal="center" vertical="center" wrapText="1"/>
    </xf>
    <xf numFmtId="0" fontId="61" fillId="0" borderId="27" xfId="0" applyFont="1" applyFill="1" applyBorder="1" applyAlignment="1">
      <alignment horizontal="center" vertical="center" wrapText="1"/>
    </xf>
    <xf numFmtId="0" fontId="61" fillId="0" borderId="5" xfId="0" applyFont="1" applyBorder="1">
      <alignment vertical="center"/>
    </xf>
    <xf numFmtId="0" fontId="0" fillId="0" borderId="5" xfId="0" applyFill="1" applyBorder="1" applyAlignment="1">
      <alignment horizontal="center" vertical="center" wrapText="1"/>
    </xf>
    <xf numFmtId="0" fontId="61" fillId="0" borderId="5" xfId="0" applyFont="1" applyFill="1" applyBorder="1" applyAlignment="1">
      <alignment horizontal="center" vertical="center" wrapText="1"/>
    </xf>
    <xf numFmtId="0" fontId="76" fillId="0" borderId="0" xfId="0" applyFont="1" applyFill="1" applyBorder="1">
      <alignment vertical="center"/>
    </xf>
    <xf numFmtId="0" fontId="76" fillId="0" borderId="0" xfId="0" applyFont="1" applyBorder="1">
      <alignment vertical="center"/>
    </xf>
    <xf numFmtId="0" fontId="77" fillId="0" borderId="0" xfId="0" applyFont="1" applyFill="1" applyBorder="1">
      <alignment vertical="center"/>
    </xf>
    <xf numFmtId="0" fontId="77" fillId="0" borderId="0" xfId="0" applyFont="1" applyBorder="1">
      <alignment vertical="center"/>
    </xf>
    <xf numFmtId="0" fontId="59" fillId="0" borderId="29" xfId="0" applyFont="1" applyFill="1" applyBorder="1" applyAlignment="1">
      <alignment horizontal="center" vertical="center" wrapText="1"/>
    </xf>
    <xf numFmtId="0" fontId="76" fillId="0" borderId="0" xfId="114" applyFont="1">
      <alignment vertical="center"/>
    </xf>
    <xf numFmtId="0" fontId="76" fillId="0" borderId="0" xfId="114" applyFont="1" applyAlignment="1">
      <alignment horizontal="center" vertical="center"/>
    </xf>
    <xf numFmtId="0" fontId="76" fillId="0" borderId="0" xfId="114" applyFont="1" applyBorder="1" applyAlignment="1">
      <alignment horizontal="right" vertical="center"/>
    </xf>
    <xf numFmtId="0" fontId="76" fillId="0" borderId="0" xfId="114" applyFont="1" applyBorder="1">
      <alignment vertical="center"/>
    </xf>
    <xf numFmtId="0" fontId="76" fillId="0" borderId="0" xfId="114" applyFont="1" applyBorder="1" applyAlignment="1">
      <alignment horizontal="center" vertical="center"/>
    </xf>
    <xf numFmtId="0" fontId="76" fillId="0" borderId="0" xfId="114" applyFont="1" applyFill="1" applyBorder="1" applyAlignment="1">
      <alignment horizontal="center" vertical="center"/>
    </xf>
    <xf numFmtId="0" fontId="76" fillId="0" borderId="0" xfId="114" applyFont="1" applyAlignment="1">
      <alignment vertical="center" wrapText="1"/>
    </xf>
    <xf numFmtId="0" fontId="77" fillId="0" borderId="0" xfId="114" applyFont="1" applyBorder="1" applyAlignment="1"/>
    <xf numFmtId="0" fontId="3" fillId="0" borderId="0" xfId="114" applyFont="1" applyBorder="1" applyAlignment="1">
      <alignment horizontal="center"/>
    </xf>
    <xf numFmtId="0" fontId="76" fillId="0" borderId="0" xfId="114" applyFont="1" applyAlignment="1">
      <alignment horizontal="left" vertical="center"/>
    </xf>
    <xf numFmtId="0" fontId="6" fillId="0" borderId="0" xfId="114" applyFont="1" applyFill="1" applyBorder="1" applyAlignment="1">
      <alignment horizontal="center"/>
    </xf>
    <xf numFmtId="202" fontId="76" fillId="0" borderId="0" xfId="114" applyNumberFormat="1" applyFont="1">
      <alignment vertical="center"/>
    </xf>
    <xf numFmtId="201" fontId="76" fillId="0" borderId="0" xfId="114" applyNumberFormat="1" applyFont="1">
      <alignment vertical="center"/>
    </xf>
    <xf numFmtId="0" fontId="77" fillId="0" borderId="0" xfId="114" applyFont="1">
      <alignment vertical="center"/>
    </xf>
    <xf numFmtId="0" fontId="3" fillId="0" borderId="0" xfId="114" applyFont="1">
      <alignment vertical="center"/>
    </xf>
    <xf numFmtId="0" fontId="77" fillId="0" borderId="0" xfId="114" applyFont="1" applyBorder="1">
      <alignment vertical="center"/>
    </xf>
    <xf numFmtId="0" fontId="77" fillId="0" borderId="0" xfId="114" applyFont="1" applyBorder="1" applyAlignment="1">
      <alignment horizontal="center" vertical="center"/>
    </xf>
    <xf numFmtId="178" fontId="77" fillId="0" borderId="0" xfId="114" applyNumberFormat="1" applyFont="1" applyBorder="1">
      <alignment vertical="center"/>
    </xf>
    <xf numFmtId="180" fontId="76" fillId="0" borderId="0" xfId="114" applyNumberFormat="1" applyFont="1">
      <alignment vertical="center"/>
    </xf>
    <xf numFmtId="178" fontId="76" fillId="0" borderId="0" xfId="114" applyNumberFormat="1" applyFont="1">
      <alignment vertical="center"/>
    </xf>
    <xf numFmtId="178" fontId="76" fillId="0" borderId="0" xfId="114" applyNumberFormat="1" applyFont="1" applyBorder="1">
      <alignment vertical="center"/>
    </xf>
    <xf numFmtId="0" fontId="76" fillId="0" borderId="0" xfId="114" applyNumberFormat="1" applyFont="1">
      <alignment vertical="center"/>
    </xf>
    <xf numFmtId="0" fontId="77" fillId="0" borderId="0" xfId="114" applyFont="1" applyAlignment="1">
      <alignment horizontal="left" vertical="center"/>
    </xf>
    <xf numFmtId="0" fontId="3" fillId="0" borderId="0" xfId="114" applyFont="1" applyBorder="1" applyAlignment="1"/>
    <xf numFmtId="0" fontId="64" fillId="0" borderId="0" xfId="114" applyFont="1" applyFill="1" applyBorder="1" applyAlignment="1">
      <alignment horizontal="left"/>
    </xf>
    <xf numFmtId="0" fontId="64" fillId="0" borderId="0" xfId="114" applyFont="1" applyFill="1" applyBorder="1" applyAlignment="1">
      <alignment horizontal="center"/>
    </xf>
    <xf numFmtId="0" fontId="80" fillId="0" borderId="0" xfId="114" applyFont="1">
      <alignment vertical="center"/>
    </xf>
    <xf numFmtId="0" fontId="81" fillId="0" borderId="0" xfId="114" applyFont="1" applyFill="1" applyBorder="1" applyAlignment="1">
      <alignment horizontal="left"/>
    </xf>
    <xf numFmtId="0" fontId="81" fillId="0" borderId="0" xfId="114" applyFont="1" applyFill="1" applyBorder="1" applyAlignment="1">
      <alignment horizontal="center"/>
    </xf>
    <xf numFmtId="0" fontId="80" fillId="0" borderId="0" xfId="114" applyFont="1" applyBorder="1" applyAlignment="1">
      <alignment horizontal="center" vertical="center"/>
    </xf>
    <xf numFmtId="0" fontId="80" fillId="0" borderId="0" xfId="114" applyFont="1" applyBorder="1" applyAlignment="1">
      <alignment horizontal="center" vertical="center" wrapText="1"/>
    </xf>
    <xf numFmtId="0" fontId="80" fillId="0" borderId="0" xfId="114" applyFont="1" applyAlignment="1">
      <alignment horizontal="center" vertical="center"/>
    </xf>
    <xf numFmtId="0" fontId="80" fillId="0" borderId="0" xfId="114" applyFont="1" applyAlignment="1">
      <alignment vertical="center" wrapText="1"/>
    </xf>
    <xf numFmtId="0" fontId="76" fillId="0" borderId="0" xfId="114" applyFont="1" applyAlignment="1">
      <alignment horizontal="right" vertical="center"/>
    </xf>
    <xf numFmtId="0" fontId="76" fillId="0" borderId="0" xfId="114" applyFont="1" applyAlignment="1">
      <alignment vertical="center"/>
    </xf>
    <xf numFmtId="0" fontId="83" fillId="0" borderId="0" xfId="114" applyFont="1">
      <alignment vertical="center"/>
    </xf>
    <xf numFmtId="0" fontId="77" fillId="40" borderId="0" xfId="114" applyFont="1" applyFill="1">
      <alignment vertical="center"/>
    </xf>
    <xf numFmtId="0" fontId="77" fillId="40" borderId="0" xfId="114" applyFont="1" applyFill="1" applyAlignment="1">
      <alignment horizontal="center" vertical="center"/>
    </xf>
    <xf numFmtId="179" fontId="77" fillId="0" borderId="0" xfId="114" applyNumberFormat="1" applyFont="1">
      <alignment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>
      <alignment vertical="center"/>
    </xf>
    <xf numFmtId="0" fontId="2" fillId="0" borderId="5" xfId="0" applyFont="1" applyBorder="1" applyAlignment="1">
      <alignment vertical="center" wrapText="1"/>
    </xf>
    <xf numFmtId="180" fontId="0" fillId="0" borderId="5" xfId="0" applyNumberFormat="1" applyFill="1" applyBorder="1">
      <alignment vertical="center"/>
    </xf>
    <xf numFmtId="0" fontId="86" fillId="0" borderId="5" xfId="0" applyFont="1" applyBorder="1">
      <alignment vertical="center"/>
    </xf>
    <xf numFmtId="178" fontId="87" fillId="0" borderId="5" xfId="0" applyNumberFormat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84" fillId="0" borderId="5" xfId="0" applyFont="1" applyBorder="1">
      <alignment vertical="center"/>
    </xf>
    <xf numFmtId="0" fontId="2" fillId="0" borderId="5" xfId="110" applyBorder="1">
      <alignment vertical="center"/>
    </xf>
    <xf numFmtId="0" fontId="2" fillId="0" borderId="0" xfId="110">
      <alignment vertical="center"/>
    </xf>
    <xf numFmtId="0" fontId="5" fillId="0" borderId="5" xfId="110" applyFont="1" applyBorder="1">
      <alignment vertical="center"/>
    </xf>
    <xf numFmtId="0" fontId="2" fillId="0" borderId="5" xfId="110" applyBorder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2" fillId="42" borderId="0" xfId="0" applyFont="1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2" fillId="45" borderId="0" xfId="0" applyFont="1" applyFill="1" applyAlignment="1">
      <alignment horizontal="center" vertical="center"/>
    </xf>
    <xf numFmtId="0" fontId="0" fillId="42" borderId="0" xfId="0" applyFill="1" applyBorder="1" applyAlignment="1">
      <alignment vertical="center"/>
    </xf>
    <xf numFmtId="0" fontId="0" fillId="43" borderId="0" xfId="0" applyFill="1" applyBorder="1" applyAlignment="1">
      <alignment vertical="center"/>
    </xf>
    <xf numFmtId="0" fontId="61" fillId="0" borderId="0" xfId="110" applyFont="1">
      <alignment vertical="center"/>
    </xf>
    <xf numFmtId="0" fontId="2" fillId="32" borderId="5" xfId="110" applyFill="1" applyBorder="1">
      <alignment vertical="center"/>
    </xf>
    <xf numFmtId="176" fontId="2" fillId="0" borderId="5" xfId="110" applyNumberFormat="1" applyBorder="1">
      <alignment vertical="center"/>
    </xf>
    <xf numFmtId="0" fontId="89" fillId="42" borderId="0" xfId="151" applyFill="1" applyAlignment="1">
      <alignment horizontal="center" vertical="center"/>
    </xf>
    <xf numFmtId="0" fontId="7" fillId="0" borderId="5" xfId="110" applyFont="1" applyBorder="1" applyAlignment="1">
      <alignment vertical="center" shrinkToFit="1"/>
    </xf>
    <xf numFmtId="0" fontId="89" fillId="43" borderId="0" xfId="151" applyFill="1" applyAlignment="1">
      <alignment horizontal="center" vertical="center"/>
    </xf>
    <xf numFmtId="0" fontId="2" fillId="0" borderId="5" xfId="110" applyBorder="1" applyAlignment="1">
      <alignment vertical="center" wrapText="1"/>
    </xf>
    <xf numFmtId="10" fontId="2" fillId="0" borderId="5" xfId="110" applyNumberFormat="1" applyBorder="1">
      <alignment vertical="center"/>
    </xf>
    <xf numFmtId="0" fontId="2" fillId="38" borderId="5" xfId="110" applyFill="1" applyBorder="1">
      <alignment vertical="center"/>
    </xf>
    <xf numFmtId="0" fontId="2" fillId="39" borderId="5" xfId="110" applyFont="1" applyFill="1" applyBorder="1">
      <alignment vertical="center"/>
    </xf>
    <xf numFmtId="0" fontId="2" fillId="0" borderId="5" xfId="110" applyBorder="1" applyAlignment="1">
      <alignment horizontal="center" vertical="center" wrapText="1"/>
    </xf>
    <xf numFmtId="0" fontId="2" fillId="36" borderId="5" xfId="110" applyFill="1" applyBorder="1" applyAlignment="1">
      <alignment horizontal="center" vertical="center"/>
    </xf>
    <xf numFmtId="178" fontId="2" fillId="39" borderId="5" xfId="110" applyNumberFormat="1" applyFill="1" applyBorder="1" applyAlignment="1">
      <alignment horizontal="center" vertical="center"/>
    </xf>
    <xf numFmtId="179" fontId="2" fillId="0" borderId="5" xfId="110" applyNumberFormat="1" applyBorder="1" applyAlignment="1">
      <alignment horizontal="center" vertical="center" wrapText="1"/>
    </xf>
    <xf numFmtId="178" fontId="2" fillId="39" borderId="5" xfId="110" applyNumberFormat="1" applyFill="1" applyBorder="1" applyAlignment="1">
      <alignment horizontal="center" vertical="center" wrapText="1"/>
    </xf>
    <xf numFmtId="0" fontId="2" fillId="35" borderId="5" xfId="110" applyFill="1" applyBorder="1" applyAlignment="1">
      <alignment horizontal="center" vertical="center" wrapText="1"/>
    </xf>
    <xf numFmtId="178" fontId="2" fillId="35" borderId="5" xfId="110" applyNumberFormat="1" applyFill="1" applyBorder="1" applyAlignment="1">
      <alignment horizontal="center" vertical="center" wrapText="1"/>
    </xf>
    <xf numFmtId="178" fontId="2" fillId="35" borderId="5" xfId="11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11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110" applyFont="1" applyBorder="1">
      <alignment vertical="center"/>
    </xf>
    <xf numFmtId="0" fontId="5" fillId="0" borderId="5" xfId="110" applyFont="1" applyFill="1" applyBorder="1">
      <alignment vertical="center"/>
    </xf>
    <xf numFmtId="178" fontId="2" fillId="0" borderId="5" xfId="110" applyNumberFormat="1" applyBorder="1">
      <alignment vertical="center"/>
    </xf>
    <xf numFmtId="178" fontId="61" fillId="0" borderId="5" xfId="110" applyNumberFormat="1" applyFont="1" applyBorder="1">
      <alignment vertical="center"/>
    </xf>
    <xf numFmtId="0" fontId="6" fillId="0" borderId="5" xfId="110" applyFont="1" applyBorder="1" applyAlignment="1">
      <alignment horizontal="center" vertical="center"/>
    </xf>
    <xf numFmtId="0" fontId="59" fillId="0" borderId="5" xfId="110" applyFont="1" applyBorder="1" applyAlignment="1">
      <alignment horizontal="center" vertical="center"/>
    </xf>
    <xf numFmtId="176" fontId="6" fillId="32" borderId="5" xfId="110" applyNumberFormat="1" applyFont="1" applyFill="1" applyBorder="1" applyAlignment="1">
      <alignment horizontal="center" vertical="center"/>
    </xf>
    <xf numFmtId="0" fontId="2" fillId="46" borderId="0" xfId="110" applyFont="1" applyFill="1">
      <alignment vertical="center"/>
    </xf>
    <xf numFmtId="0" fontId="6" fillId="32" borderId="5" xfId="110" applyFont="1" applyFill="1" applyBorder="1" applyAlignment="1">
      <alignment horizontal="center" vertical="center"/>
    </xf>
    <xf numFmtId="0" fontId="2" fillId="42" borderId="0" xfId="110" applyFont="1" applyFill="1">
      <alignment vertical="center"/>
    </xf>
    <xf numFmtId="177" fontId="6" fillId="32" borderId="5" xfId="110" applyNumberFormat="1" applyFont="1" applyFill="1" applyBorder="1" applyAlignment="1">
      <alignment horizontal="center" vertical="center"/>
    </xf>
    <xf numFmtId="0" fontId="2" fillId="0" borderId="0" xfId="110" applyFont="1">
      <alignment vertical="center"/>
    </xf>
    <xf numFmtId="178" fontId="6" fillId="0" borderId="5" xfId="110" applyNumberFormat="1" applyFont="1" applyFill="1" applyBorder="1" applyAlignment="1">
      <alignment horizontal="center" vertical="center"/>
    </xf>
    <xf numFmtId="0" fontId="2" fillId="43" borderId="0" xfId="110" applyFont="1" applyFill="1">
      <alignment vertical="center"/>
    </xf>
    <xf numFmtId="0" fontId="6" fillId="0" borderId="5" xfId="110" applyFont="1" applyBorder="1" applyAlignment="1">
      <alignment horizontal="center" vertical="center" wrapText="1"/>
    </xf>
    <xf numFmtId="0" fontId="2" fillId="47" borderId="0" xfId="110" applyFont="1" applyFill="1" applyBorder="1">
      <alignment vertical="center"/>
    </xf>
    <xf numFmtId="0" fontId="2" fillId="42" borderId="0" xfId="110" applyFont="1" applyFill="1" applyBorder="1">
      <alignment vertical="center"/>
    </xf>
    <xf numFmtId="178" fontId="64" fillId="0" borderId="5" xfId="110" applyNumberFormat="1" applyFont="1" applyFill="1" applyBorder="1" applyAlignment="1">
      <alignment horizontal="center" vertical="center"/>
    </xf>
    <xf numFmtId="0" fontId="2" fillId="43" borderId="0" xfId="110" applyFont="1" applyFill="1" applyBorder="1">
      <alignment vertical="center"/>
    </xf>
    <xf numFmtId="0" fontId="64" fillId="19" borderId="5" xfId="110" applyFont="1" applyFill="1" applyBorder="1" applyAlignment="1">
      <alignment horizontal="center" vertical="center" wrapText="1"/>
    </xf>
    <xf numFmtId="0" fontId="2" fillId="0" borderId="0" xfId="110" applyFont="1" applyFill="1" applyBorder="1">
      <alignment vertical="center"/>
    </xf>
    <xf numFmtId="0" fontId="2" fillId="0" borderId="5" xfId="110" applyFill="1" applyBorder="1" applyAlignment="1">
      <alignment vertical="center" textRotation="90" readingOrder="1"/>
    </xf>
    <xf numFmtId="0" fontId="6" fillId="0" borderId="5" xfId="110" applyFont="1" applyFill="1" applyBorder="1" applyAlignment="1">
      <alignment horizontal="center" vertical="center"/>
    </xf>
    <xf numFmtId="0" fontId="59" fillId="0" borderId="5" xfId="110" applyFont="1" applyFill="1" applyBorder="1" applyAlignment="1">
      <alignment horizontal="center" vertical="center"/>
    </xf>
    <xf numFmtId="0" fontId="2" fillId="32" borderId="5" xfId="110" applyFont="1" applyFill="1" applyBorder="1" applyAlignment="1">
      <alignment horizontal="center" vertical="center"/>
    </xf>
    <xf numFmtId="0" fontId="6" fillId="0" borderId="5" xfId="110" applyFont="1" applyFill="1" applyBorder="1" applyAlignment="1">
      <alignment horizontal="center" vertical="center" wrapText="1"/>
    </xf>
    <xf numFmtId="0" fontId="2" fillId="0" borderId="5" xfId="110" applyFill="1" applyBorder="1" applyAlignment="1">
      <alignment horizontal="center" vertical="center"/>
    </xf>
    <xf numFmtId="178" fontId="61" fillId="0" borderId="5" xfId="110" applyNumberFormat="1" applyFont="1" applyFill="1" applyBorder="1" applyAlignment="1">
      <alignment horizontal="center" vertical="center"/>
    </xf>
    <xf numFmtId="9" fontId="2" fillId="0" borderId="5" xfId="110" applyNumberFormat="1" applyFill="1" applyBorder="1" applyAlignment="1">
      <alignment horizontal="center" vertical="center"/>
    </xf>
    <xf numFmtId="0" fontId="6" fillId="0" borderId="5" xfId="110" applyFont="1" applyFill="1" applyBorder="1" applyAlignment="1">
      <alignment horizontal="left" vertical="center"/>
    </xf>
    <xf numFmtId="181" fontId="2" fillId="0" borderId="5" xfId="110" applyNumberFormat="1" applyFill="1" applyBorder="1" applyAlignment="1">
      <alignment horizontal="center" vertical="center"/>
    </xf>
    <xf numFmtId="176" fontId="61" fillId="0" borderId="5" xfId="110" applyNumberFormat="1" applyFont="1" applyFill="1" applyBorder="1" applyAlignment="1">
      <alignment horizontal="center" vertical="center"/>
    </xf>
    <xf numFmtId="0" fontId="2" fillId="0" borderId="0" xfId="110" applyAlignment="1">
      <alignment horizontal="center" vertical="center"/>
    </xf>
    <xf numFmtId="0" fontId="59" fillId="0" borderId="15" xfId="110" applyFont="1" applyFill="1" applyBorder="1" applyAlignment="1">
      <alignment horizontal="center" vertical="center"/>
    </xf>
    <xf numFmtId="0" fontId="2" fillId="32" borderId="38" xfId="110" applyFont="1" applyFill="1" applyBorder="1" applyAlignment="1">
      <alignment horizontal="left" vertical="center"/>
    </xf>
    <xf numFmtId="0" fontId="2" fillId="32" borderId="38" xfId="110" applyFill="1" applyBorder="1" applyAlignment="1">
      <alignment horizontal="left" vertical="center"/>
    </xf>
    <xf numFmtId="0" fontId="2" fillId="0" borderId="38" xfId="110" applyFill="1" applyBorder="1" applyAlignment="1">
      <alignment horizontal="left" vertical="center"/>
    </xf>
    <xf numFmtId="178" fontId="2" fillId="32" borderId="38" xfId="110" applyNumberFormat="1" applyFill="1" applyBorder="1" applyAlignment="1">
      <alignment horizontal="left" vertical="center"/>
    </xf>
    <xf numFmtId="0" fontId="61" fillId="0" borderId="38" xfId="110" applyFont="1" applyFill="1" applyBorder="1" applyAlignment="1">
      <alignment horizontal="left" vertical="center"/>
    </xf>
    <xf numFmtId="0" fontId="59" fillId="0" borderId="39" xfId="110" applyFont="1" applyFill="1" applyBorder="1" applyAlignment="1">
      <alignment horizontal="center" vertical="center"/>
    </xf>
    <xf numFmtId="0" fontId="59" fillId="0" borderId="17" xfId="110" applyFont="1" applyFill="1" applyBorder="1" applyAlignment="1">
      <alignment horizontal="center" vertical="center"/>
    </xf>
    <xf numFmtId="0" fontId="2" fillId="0" borderId="40" xfId="110" applyFill="1" applyBorder="1" applyAlignment="1">
      <alignment horizontal="left" vertical="center"/>
    </xf>
    <xf numFmtId="0" fontId="6" fillId="0" borderId="15" xfId="110" applyFont="1" applyFill="1" applyBorder="1" applyAlignment="1">
      <alignment horizontal="center" vertical="center"/>
    </xf>
    <xf numFmtId="0" fontId="6" fillId="0" borderId="18" xfId="110" applyFont="1" applyFill="1" applyBorder="1" applyAlignment="1">
      <alignment horizontal="center" vertical="center"/>
    </xf>
    <xf numFmtId="9" fontId="6" fillId="0" borderId="5" xfId="110" applyNumberFormat="1" applyFont="1" applyBorder="1" applyAlignment="1">
      <alignment horizontal="center" vertical="center"/>
    </xf>
    <xf numFmtId="176" fontId="6" fillId="0" borderId="5" xfId="110" applyNumberFormat="1" applyFont="1" applyFill="1" applyBorder="1" applyAlignment="1">
      <alignment horizontal="center" vertical="center"/>
    </xf>
    <xf numFmtId="176" fontId="91" fillId="0" borderId="5" xfId="110" applyNumberFormat="1" applyFont="1" applyFill="1" applyBorder="1" applyAlignment="1">
      <alignment horizontal="center" vertical="center"/>
    </xf>
    <xf numFmtId="0" fontId="2" fillId="45" borderId="0" xfId="110" applyFont="1" applyFill="1">
      <alignment vertical="center"/>
    </xf>
    <xf numFmtId="9" fontId="2" fillId="0" borderId="5" xfId="110" applyNumberFormat="1" applyBorder="1">
      <alignment vertical="center"/>
    </xf>
    <xf numFmtId="176" fontId="61" fillId="0" borderId="5" xfId="110" applyNumberFormat="1" applyFont="1" applyBorder="1">
      <alignment vertical="center"/>
    </xf>
    <xf numFmtId="0" fontId="6" fillId="40" borderId="5" xfId="110" applyFont="1" applyFill="1" applyBorder="1" applyAlignment="1">
      <alignment horizontal="center" vertical="center"/>
    </xf>
    <xf numFmtId="0" fontId="59" fillId="40" borderId="5" xfId="110" applyFont="1" applyFill="1" applyBorder="1" applyAlignment="1">
      <alignment horizontal="center" vertical="center"/>
    </xf>
    <xf numFmtId="176" fontId="64" fillId="0" borderId="5" xfId="110" applyNumberFormat="1" applyFont="1" applyFill="1" applyBorder="1" applyAlignment="1">
      <alignment horizontal="center" vertical="center"/>
    </xf>
    <xf numFmtId="0" fontId="92" fillId="0" borderId="5" xfId="110" applyFont="1" applyBorder="1" applyAlignment="1">
      <alignment horizontal="center" vertical="center"/>
    </xf>
    <xf numFmtId="176" fontId="92" fillId="0" borderId="5" xfId="110" applyNumberFormat="1" applyFont="1" applyBorder="1" applyAlignment="1">
      <alignment horizontal="center" vertical="center"/>
    </xf>
    <xf numFmtId="178" fontId="6" fillId="32" borderId="5" xfId="110" applyNumberFormat="1" applyFont="1" applyFill="1" applyBorder="1" applyAlignment="1">
      <alignment horizontal="center" vertical="center"/>
    </xf>
    <xf numFmtId="179" fontId="6" fillId="32" borderId="5" xfId="110" applyNumberFormat="1" applyFont="1" applyFill="1" applyBorder="1" applyAlignment="1">
      <alignment horizontal="center" vertical="center"/>
    </xf>
    <xf numFmtId="0" fontId="2" fillId="38" borderId="0" xfId="110" applyFill="1">
      <alignment vertical="center"/>
    </xf>
    <xf numFmtId="0" fontId="6" fillId="0" borderId="5" xfId="110" applyFont="1" applyBorder="1" applyAlignment="1">
      <alignment horizontal="center" vertical="center" shrinkToFit="1"/>
    </xf>
    <xf numFmtId="0" fontId="59" fillId="0" borderId="0" xfId="110" applyFont="1" applyFill="1" applyBorder="1" applyAlignment="1">
      <alignment horizontal="center" vertical="center"/>
    </xf>
    <xf numFmtId="0" fontId="6" fillId="0" borderId="5" xfId="110" applyFont="1" applyBorder="1" applyAlignment="1">
      <alignment horizontal="right" vertical="center"/>
    </xf>
    <xf numFmtId="178" fontId="91" fillId="40" borderId="5" xfId="110" applyNumberFormat="1" applyFont="1" applyFill="1" applyBorder="1" applyAlignment="1">
      <alignment horizontal="center" vertical="center"/>
    </xf>
    <xf numFmtId="0" fontId="84" fillId="0" borderId="16" xfId="110" applyFont="1" applyFill="1" applyBorder="1" applyAlignment="1">
      <alignment horizontal="left" vertical="center"/>
    </xf>
    <xf numFmtId="0" fontId="61" fillId="0" borderId="0" xfId="110" applyFont="1" applyAlignment="1">
      <alignment horizontal="center" vertical="center"/>
    </xf>
    <xf numFmtId="0" fontId="61" fillId="0" borderId="5" xfId="110" applyFont="1" applyBorder="1" applyAlignment="1">
      <alignment horizontal="center" vertical="center"/>
    </xf>
    <xf numFmtId="178" fontId="6" fillId="0" borderId="5" xfId="110" applyNumberFormat="1" applyFont="1" applyBorder="1" applyAlignment="1">
      <alignment horizontal="right" vertical="center"/>
    </xf>
    <xf numFmtId="0" fontId="2" fillId="48" borderId="0" xfId="110" applyFill="1" applyBorder="1">
      <alignment vertical="center"/>
    </xf>
    <xf numFmtId="49" fontId="7" fillId="0" borderId="5" xfId="110" applyNumberFormat="1" applyFont="1" applyBorder="1" applyAlignment="1">
      <alignment horizontal="center" vertical="center"/>
    </xf>
    <xf numFmtId="0" fontId="7" fillId="0" borderId="5" xfId="110" applyFont="1" applyFill="1" applyBorder="1" applyAlignment="1"/>
    <xf numFmtId="178" fontId="7" fillId="0" borderId="5" xfId="110" applyNumberFormat="1" applyFont="1" applyBorder="1" applyAlignment="1">
      <alignment horizontal="center" vertical="center"/>
    </xf>
    <xf numFmtId="0" fontId="2" fillId="0" borderId="0" xfId="110" applyBorder="1">
      <alignment vertical="center"/>
    </xf>
    <xf numFmtId="180" fontId="7" fillId="0" borderId="5" xfId="110" applyNumberFormat="1" applyFont="1" applyBorder="1" applyAlignment="1">
      <alignment horizontal="center" vertical="center"/>
    </xf>
    <xf numFmtId="0" fontId="7" fillId="0" borderId="5" xfId="110" applyFont="1" applyBorder="1" applyAlignment="1">
      <alignment horizontal="left" vertical="center"/>
    </xf>
    <xf numFmtId="178" fontId="7" fillId="19" borderId="5" xfId="110" applyNumberFormat="1" applyFont="1" applyFill="1" applyBorder="1" applyAlignment="1">
      <alignment horizontal="center" vertical="center"/>
    </xf>
    <xf numFmtId="178" fontId="7" fillId="19" borderId="42" xfId="110" applyNumberFormat="1" applyFont="1" applyFill="1" applyBorder="1" applyAlignment="1">
      <alignment horizontal="center" vertical="center"/>
    </xf>
    <xf numFmtId="0" fontId="7" fillId="0" borderId="5" xfId="110" applyFont="1" applyFill="1" applyBorder="1" applyAlignment="1">
      <alignment horizontal="right"/>
    </xf>
    <xf numFmtId="0" fontId="7" fillId="0" borderId="5" xfId="110" applyFont="1" applyBorder="1" applyAlignment="1">
      <alignment horizontal="right" vertical="center"/>
    </xf>
    <xf numFmtId="0" fontId="7" fillId="0" borderId="5" xfId="110" applyFont="1" applyFill="1" applyBorder="1">
      <alignment vertical="center"/>
    </xf>
    <xf numFmtId="0" fontId="53" fillId="0" borderId="5" xfId="110" applyFont="1" applyBorder="1">
      <alignment vertical="center"/>
    </xf>
    <xf numFmtId="178" fontId="7" fillId="0" borderId="5" xfId="110" applyNumberFormat="1" applyFont="1" applyFill="1" applyBorder="1" applyAlignment="1">
      <alignment horizontal="center" vertical="center"/>
    </xf>
    <xf numFmtId="0" fontId="7" fillId="0" borderId="5" xfId="110" applyFont="1" applyFill="1" applyBorder="1" applyAlignment="1">
      <alignment horizontal="left" vertical="center"/>
    </xf>
    <xf numFmtId="0" fontId="95" fillId="0" borderId="5" xfId="152" applyFont="1" applyFill="1" applyBorder="1" applyAlignment="1">
      <alignment horizontal="left" vertical="center" shrinkToFit="1"/>
    </xf>
    <xf numFmtId="180" fontId="7" fillId="19" borderId="5" xfId="110" applyNumberFormat="1" applyFont="1" applyFill="1" applyBorder="1" applyAlignment="1">
      <alignment horizontal="center" vertical="center"/>
    </xf>
    <xf numFmtId="176" fontId="7" fillId="19" borderId="5" xfId="110" applyNumberFormat="1" applyFont="1" applyFill="1" applyBorder="1" applyAlignment="1">
      <alignment horizontal="center" vertical="center"/>
    </xf>
    <xf numFmtId="0" fontId="2" fillId="45" borderId="0" xfId="110" applyFill="1" applyBorder="1">
      <alignment vertical="center"/>
    </xf>
    <xf numFmtId="0" fontId="7" fillId="0" borderId="5" xfId="110" applyFont="1" applyFill="1" applyBorder="1" applyAlignment="1">
      <alignment horizontal="right" vertical="center"/>
    </xf>
    <xf numFmtId="0" fontId="96" fillId="0" borderId="5" xfId="110" applyFont="1" applyBorder="1">
      <alignment vertical="center"/>
    </xf>
    <xf numFmtId="178" fontId="97" fillId="19" borderId="5" xfId="110" applyNumberFormat="1" applyFont="1" applyFill="1" applyBorder="1" applyAlignment="1">
      <alignment horizontal="center" vertical="center"/>
    </xf>
    <xf numFmtId="179" fontId="7" fillId="0" borderId="5" xfId="110" applyNumberFormat="1" applyFont="1" applyBorder="1" applyAlignment="1">
      <alignment horizontal="center" vertical="center"/>
    </xf>
    <xf numFmtId="181" fontId="7" fillId="0" borderId="5" xfId="110" applyNumberFormat="1" applyFont="1" applyBorder="1" applyAlignment="1">
      <alignment horizontal="center" vertical="center"/>
    </xf>
    <xf numFmtId="0" fontId="7" fillId="19" borderId="5" xfId="110" applyFont="1" applyFill="1" applyBorder="1" applyAlignment="1">
      <alignment horizontal="center" vertical="center"/>
    </xf>
    <xf numFmtId="0" fontId="2" fillId="0" borderId="5" xfId="110" applyBorder="1" applyAlignment="1">
      <alignment horizontal="right" vertical="center"/>
    </xf>
    <xf numFmtId="0" fontId="99" fillId="19" borderId="28" xfId="110" applyFont="1" applyFill="1" applyBorder="1" applyAlignment="1">
      <alignment horizontal="center" vertical="center"/>
    </xf>
    <xf numFmtId="0" fontId="2" fillId="0" borderId="17" xfId="110" applyBorder="1">
      <alignment vertical="center"/>
    </xf>
    <xf numFmtId="0" fontId="7" fillId="0" borderId="17" xfId="110" applyFont="1" applyBorder="1">
      <alignment vertical="center"/>
    </xf>
    <xf numFmtId="0" fontId="5" fillId="0" borderId="17" xfId="110" applyFont="1" applyBorder="1">
      <alignment vertical="center"/>
    </xf>
    <xf numFmtId="9" fontId="7" fillId="0" borderId="17" xfId="110" applyNumberFormat="1" applyFont="1" applyBorder="1" applyAlignment="1">
      <alignment horizontal="center" vertical="center"/>
    </xf>
    <xf numFmtId="0" fontId="2" fillId="37" borderId="5" xfId="110" applyFill="1" applyBorder="1" applyAlignment="1">
      <alignment horizontal="center" vertical="center" wrapText="1"/>
    </xf>
    <xf numFmtId="0" fontId="7" fillId="37" borderId="5" xfId="110" applyFont="1" applyFill="1" applyBorder="1" applyAlignment="1">
      <alignment horizontal="center" vertical="center" wrapText="1"/>
    </xf>
    <xf numFmtId="9" fontId="2" fillId="37" borderId="5" xfId="110" applyNumberFormat="1" applyFill="1" applyBorder="1" applyAlignment="1">
      <alignment horizontal="center" vertical="center" wrapText="1"/>
    </xf>
    <xf numFmtId="0" fontId="2" fillId="0" borderId="0" xfId="110" applyBorder="1" applyAlignment="1">
      <alignment horizontal="center" vertical="center" wrapText="1"/>
    </xf>
    <xf numFmtId="0" fontId="2" fillId="37" borderId="5" xfId="110" applyFill="1" applyBorder="1" applyAlignment="1">
      <alignment horizontal="center" vertical="center"/>
    </xf>
    <xf numFmtId="179" fontId="2" fillId="19" borderId="5" xfId="110" applyNumberFormat="1" applyFill="1" applyBorder="1" applyAlignment="1">
      <alignment horizontal="left" vertical="center"/>
    </xf>
    <xf numFmtId="178" fontId="2" fillId="37" borderId="5" xfId="110" applyNumberFormat="1" applyFill="1" applyBorder="1" applyAlignment="1">
      <alignment horizontal="left" vertical="center"/>
    </xf>
    <xf numFmtId="0" fontId="2" fillId="37" borderId="5" xfId="110" applyFill="1" applyBorder="1" applyAlignment="1">
      <alignment horizontal="left" vertical="center"/>
    </xf>
    <xf numFmtId="9" fontId="2" fillId="37" borderId="5" xfId="110" applyNumberFormat="1" applyFill="1" applyBorder="1" applyAlignment="1">
      <alignment horizontal="left" vertical="center"/>
    </xf>
    <xf numFmtId="0" fontId="2" fillId="0" borderId="0" xfId="110" applyBorder="1" applyAlignment="1">
      <alignment horizontal="center" vertical="center"/>
    </xf>
    <xf numFmtId="178" fontId="2" fillId="0" borderId="0" xfId="110" applyNumberFormat="1" applyBorder="1" applyAlignment="1">
      <alignment horizontal="center" vertical="center"/>
    </xf>
    <xf numFmtId="176" fontId="2" fillId="37" borderId="5" xfId="110" applyNumberFormat="1" applyFill="1" applyBorder="1" applyAlignment="1">
      <alignment horizontal="left" vertical="center"/>
    </xf>
    <xf numFmtId="0" fontId="71" fillId="37" borderId="5" xfId="110" applyFont="1" applyFill="1" applyBorder="1" applyAlignment="1">
      <alignment horizontal="center" vertical="center"/>
    </xf>
    <xf numFmtId="0" fontId="71" fillId="37" borderId="5" xfId="110" applyFont="1" applyFill="1" applyBorder="1" applyAlignment="1">
      <alignment horizontal="left" vertical="center"/>
    </xf>
    <xf numFmtId="9" fontId="71" fillId="37" borderId="5" xfId="110" applyNumberFormat="1" applyFont="1" applyFill="1" applyBorder="1" applyAlignment="1">
      <alignment horizontal="left" vertical="center"/>
    </xf>
    <xf numFmtId="176" fontId="2" fillId="19" borderId="5" xfId="110" applyNumberFormat="1" applyFill="1" applyBorder="1" applyAlignment="1">
      <alignment horizontal="left" vertical="center"/>
    </xf>
    <xf numFmtId="178" fontId="2" fillId="19" borderId="5" xfId="110" applyNumberFormat="1" applyFill="1" applyBorder="1" applyAlignment="1">
      <alignment horizontal="left" vertical="center"/>
    </xf>
    <xf numFmtId="178" fontId="2" fillId="0" borderId="5" xfId="110" applyNumberFormat="1" applyBorder="1" applyAlignment="1">
      <alignment horizontal="center" vertical="center"/>
    </xf>
    <xf numFmtId="180" fontId="2" fillId="0" borderId="5" xfId="110" applyNumberFormat="1" applyBorder="1" applyAlignment="1">
      <alignment horizontal="center" vertical="center"/>
    </xf>
    <xf numFmtId="0" fontId="2" fillId="32" borderId="5" xfId="110" applyFill="1" applyBorder="1" applyAlignment="1">
      <alignment horizontal="center" vertical="center"/>
    </xf>
    <xf numFmtId="180" fontId="7" fillId="0" borderId="5" xfId="110" applyNumberFormat="1" applyFont="1" applyFill="1" applyBorder="1" applyAlignment="1">
      <alignment horizontal="center" vertical="center"/>
    </xf>
    <xf numFmtId="178" fontId="2" fillId="0" borderId="5" xfId="110" applyNumberFormat="1" applyFont="1" applyFill="1" applyBorder="1" applyAlignment="1">
      <alignment horizontal="center" vertical="center"/>
    </xf>
    <xf numFmtId="0" fontId="7" fillId="0" borderId="5" xfId="110" applyFont="1" applyFill="1" applyBorder="1" applyAlignment="1">
      <alignment horizontal="center" vertical="center"/>
    </xf>
    <xf numFmtId="178" fontId="2" fillId="0" borderId="0" xfId="110" applyNumberFormat="1" applyBorder="1">
      <alignment vertical="center"/>
    </xf>
    <xf numFmtId="181" fontId="7" fillId="49" borderId="5" xfId="110" applyNumberFormat="1" applyFont="1" applyFill="1" applyBorder="1" applyAlignment="1">
      <alignment horizontal="center" vertical="center"/>
    </xf>
    <xf numFmtId="0" fontId="2" fillId="0" borderId="0" xfId="110" applyFill="1" applyBorder="1">
      <alignment vertical="center"/>
    </xf>
    <xf numFmtId="0" fontId="71" fillId="32" borderId="5" xfId="110" applyFont="1" applyFill="1" applyBorder="1" applyAlignment="1">
      <alignment horizontal="center" vertical="center"/>
    </xf>
    <xf numFmtId="10" fontId="2" fillId="0" borderId="5" xfId="110" applyNumberFormat="1" applyBorder="1" applyAlignment="1">
      <alignment horizontal="center" vertical="center"/>
    </xf>
    <xf numFmtId="10" fontId="2" fillId="0" borderId="0" xfId="110" applyNumberFormat="1" applyBorder="1">
      <alignment vertical="center"/>
    </xf>
    <xf numFmtId="0" fontId="2" fillId="0" borderId="5" xfId="110" applyBorder="1" applyAlignment="1">
      <alignment vertical="center"/>
    </xf>
    <xf numFmtId="0" fontId="2" fillId="0" borderId="0" xfId="110" applyBorder="1" applyAlignment="1">
      <alignment vertical="center"/>
    </xf>
    <xf numFmtId="0" fontId="2" fillId="33" borderId="5" xfId="110" applyFill="1" applyBorder="1" applyAlignment="1">
      <alignment horizontal="center" vertical="center"/>
    </xf>
    <xf numFmtId="10" fontId="2" fillId="33" borderId="5" xfId="110" applyNumberFormat="1" applyFill="1" applyBorder="1" applyAlignment="1">
      <alignment horizontal="center" vertical="center"/>
    </xf>
    <xf numFmtId="0" fontId="2" fillId="19" borderId="5" xfId="110" applyFill="1" applyBorder="1" applyAlignment="1">
      <alignment horizontal="center" vertical="center"/>
    </xf>
    <xf numFmtId="177" fontId="2" fillId="33" borderId="5" xfId="110" applyNumberFormat="1" applyFill="1" applyBorder="1" applyAlignment="1">
      <alignment horizontal="center" vertical="center"/>
    </xf>
    <xf numFmtId="178" fontId="2" fillId="32" borderId="5" xfId="110" applyNumberFormat="1" applyFill="1" applyBorder="1" applyAlignment="1">
      <alignment horizontal="center" vertical="center"/>
    </xf>
    <xf numFmtId="0" fontId="7" fillId="0" borderId="5" xfId="110" applyFont="1" applyBorder="1" applyAlignment="1"/>
    <xf numFmtId="0" fontId="101" fillId="0" borderId="5" xfId="110" applyFont="1" applyFill="1" applyBorder="1" applyAlignment="1">
      <alignment horizontal="center" vertical="center" wrapText="1"/>
    </xf>
    <xf numFmtId="203" fontId="7" fillId="39" borderId="5" xfId="110" applyNumberFormat="1" applyFont="1" applyFill="1" applyBorder="1" applyAlignment="1">
      <alignment horizontal="center" vertical="center"/>
    </xf>
    <xf numFmtId="0" fontId="0" fillId="42" borderId="0" xfId="0" applyFill="1" applyAlignment="1">
      <alignment horizontal="center"/>
    </xf>
    <xf numFmtId="203" fontId="7" fillId="39" borderId="16" xfId="110" applyNumberFormat="1" applyFont="1" applyFill="1" applyBorder="1" applyAlignment="1">
      <alignment horizontal="center" vertical="center"/>
    </xf>
    <xf numFmtId="0" fontId="2" fillId="0" borderId="0" xfId="110" applyFont="1" applyBorder="1">
      <alignment vertical="center"/>
    </xf>
    <xf numFmtId="0" fontId="7" fillId="39" borderId="5" xfId="110" applyFont="1" applyFill="1" applyBorder="1">
      <alignment vertical="center"/>
    </xf>
    <xf numFmtId="9" fontId="7" fillId="0" borderId="5" xfId="110" applyNumberFormat="1" applyFont="1" applyBorder="1" applyAlignment="1">
      <alignment horizontal="center" vertical="center"/>
    </xf>
    <xf numFmtId="0" fontId="7" fillId="0" borderId="5" xfId="152" applyFont="1" applyFill="1" applyBorder="1" applyAlignment="1">
      <alignment horizontal="left" vertical="center" shrinkToFit="1"/>
    </xf>
    <xf numFmtId="178" fontId="7" fillId="0" borderId="5" xfId="110" applyNumberFormat="1" applyFont="1" applyBorder="1" applyAlignment="1">
      <alignment horizontal="center"/>
    </xf>
    <xf numFmtId="179" fontId="7" fillId="19" borderId="5" xfId="110" applyNumberFormat="1" applyFont="1" applyFill="1" applyBorder="1" applyAlignment="1">
      <alignment horizontal="center"/>
    </xf>
    <xf numFmtId="180" fontId="7" fillId="0" borderId="5" xfId="110" applyNumberFormat="1" applyFont="1" applyBorder="1" applyAlignment="1">
      <alignment horizontal="center"/>
    </xf>
    <xf numFmtId="0" fontId="53" fillId="0" borderId="5" xfId="110" applyFont="1" applyBorder="1" applyAlignment="1">
      <alignment horizontal="left" vertical="center"/>
    </xf>
    <xf numFmtId="179" fontId="7" fillId="19" borderId="5" xfId="110" applyNumberFormat="1" applyFont="1" applyFill="1" applyBorder="1" applyAlignment="1">
      <alignment horizontal="center" vertical="center"/>
    </xf>
    <xf numFmtId="0" fontId="7" fillId="0" borderId="5" xfId="110" applyFont="1" applyFill="1" applyBorder="1" applyAlignment="1">
      <alignment horizontal="center"/>
    </xf>
    <xf numFmtId="0" fontId="7" fillId="0" borderId="5" xfId="110" applyFont="1" applyFill="1" applyBorder="1" applyAlignment="1">
      <alignment vertical="center" wrapText="1" shrinkToFit="1"/>
    </xf>
    <xf numFmtId="178" fontId="7" fillId="32" borderId="5" xfId="110" applyNumberFormat="1" applyFont="1" applyFill="1" applyBorder="1" applyAlignment="1">
      <alignment horizontal="center" vertical="center"/>
    </xf>
    <xf numFmtId="0" fontId="89" fillId="0" borderId="0" xfId="151"/>
    <xf numFmtId="0" fontId="105" fillId="0" borderId="5" xfId="0" applyFont="1" applyBorder="1" applyAlignment="1">
      <alignment horizontal="center" vertical="center" wrapText="1"/>
    </xf>
    <xf numFmtId="0" fontId="10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89" fillId="0" borderId="5" xfId="151" applyBorder="1"/>
    <xf numFmtId="0" fontId="106" fillId="0" borderId="5" xfId="0" applyFont="1" applyBorder="1" applyAlignment="1">
      <alignment horizontal="left" vertical="top" wrapText="1"/>
    </xf>
    <xf numFmtId="0" fontId="106" fillId="0" borderId="5" xfId="0" applyFont="1" applyBorder="1" applyAlignment="1">
      <alignment horizontal="center" vertical="top" wrapText="1"/>
    </xf>
    <xf numFmtId="0" fontId="107" fillId="0" borderId="5" xfId="0" applyFont="1" applyBorder="1" applyAlignment="1">
      <alignment horizontal="left" vertical="top" wrapText="1"/>
    </xf>
    <xf numFmtId="0" fontId="72" fillId="0" borderId="0" xfId="0" applyFont="1" applyBorder="1" applyAlignment="1">
      <alignment vertical="center"/>
    </xf>
    <xf numFmtId="0" fontId="107" fillId="0" borderId="5" xfId="0" applyFont="1" applyBorder="1" applyAlignment="1">
      <alignment horizontal="center" vertical="center" wrapText="1"/>
    </xf>
    <xf numFmtId="0" fontId="107" fillId="0" borderId="5" xfId="0" applyFont="1" applyBorder="1" applyAlignment="1">
      <alignment vertical="top" wrapText="1"/>
    </xf>
    <xf numFmtId="10" fontId="107" fillId="0" borderId="5" xfId="0" applyNumberFormat="1" applyFont="1" applyBorder="1" applyAlignment="1">
      <alignment horizontal="left" vertical="top" wrapText="1"/>
    </xf>
    <xf numFmtId="0" fontId="107" fillId="0" borderId="17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center" vertical="center"/>
    </xf>
    <xf numFmtId="0" fontId="89" fillId="0" borderId="0" xfId="151" applyBorder="1"/>
    <xf numFmtId="180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 applyAlignment="1">
      <alignment vertical="center"/>
    </xf>
    <xf numFmtId="20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153"/>
    <xf numFmtId="0" fontId="5" fillId="0" borderId="0" xfId="153" applyFont="1"/>
    <xf numFmtId="0" fontId="2" fillId="0" borderId="0" xfId="153" applyFont="1"/>
    <xf numFmtId="0" fontId="2" fillId="0" borderId="0" xfId="154"/>
    <xf numFmtId="0" fontId="15" fillId="0" borderId="0" xfId="155">
      <alignment vertical="center"/>
    </xf>
    <xf numFmtId="0" fontId="38" fillId="0" borderId="0" xfId="155" applyFont="1" applyAlignment="1">
      <alignment horizontal="center" vertical="center"/>
    </xf>
    <xf numFmtId="0" fontId="15" fillId="0" borderId="0" xfId="155" applyAlignment="1">
      <alignment horizontal="center" vertical="center"/>
    </xf>
    <xf numFmtId="0" fontId="15" fillId="0" borderId="1" xfId="155" applyBorder="1" applyAlignment="1">
      <alignment horizontal="center" vertical="center"/>
    </xf>
    <xf numFmtId="0" fontId="49" fillId="0" borderId="5" xfId="155" applyFont="1" applyBorder="1" applyAlignment="1">
      <alignment horizontal="center" vertical="center"/>
    </xf>
    <xf numFmtId="0" fontId="110" fillId="0" borderId="5" xfId="155" applyFont="1" applyBorder="1" applyAlignment="1">
      <alignment horizontal="center" vertical="center" wrapText="1"/>
    </xf>
    <xf numFmtId="0" fontId="110" fillId="0" borderId="5" xfId="155" applyFont="1" applyBorder="1" applyAlignment="1">
      <alignment horizontal="center" vertical="center"/>
    </xf>
    <xf numFmtId="0" fontId="111" fillId="0" borderId="5" xfId="155" applyFont="1" applyBorder="1" applyAlignment="1">
      <alignment horizontal="center" vertical="center" wrapText="1"/>
    </xf>
    <xf numFmtId="0" fontId="72" fillId="0" borderId="5" xfId="155" applyFont="1" applyBorder="1" applyAlignment="1">
      <alignment horizontal="center" vertical="center"/>
    </xf>
    <xf numFmtId="0" fontId="72" fillId="0" borderId="5" xfId="155" applyFont="1" applyBorder="1" applyAlignment="1">
      <alignment horizontal="left" vertical="center" wrapText="1"/>
    </xf>
    <xf numFmtId="0" fontId="6" fillId="0" borderId="5" xfId="155" applyFont="1" applyBorder="1" applyAlignment="1">
      <alignment horizontal="center" vertical="center"/>
    </xf>
    <xf numFmtId="0" fontId="112" fillId="0" borderId="5" xfId="155" applyFont="1" applyBorder="1" applyAlignment="1">
      <alignment horizontal="center" vertical="center"/>
    </xf>
    <xf numFmtId="0" fontId="15" fillId="0" borderId="5" xfId="155" applyBorder="1" applyAlignment="1">
      <alignment horizontal="center" vertical="center"/>
    </xf>
    <xf numFmtId="0" fontId="6" fillId="0" borderId="5" xfId="155" applyFont="1" applyBorder="1" applyAlignment="1">
      <alignment horizontal="left" vertical="center" wrapText="1"/>
    </xf>
    <xf numFmtId="0" fontId="38" fillId="0" borderId="5" xfId="155" applyFont="1" applyBorder="1" applyAlignment="1">
      <alignment horizontal="center" vertical="center"/>
    </xf>
    <xf numFmtId="0" fontId="2" fillId="0" borderId="5" xfId="155" applyFont="1" applyBorder="1" applyAlignment="1">
      <alignment horizontal="left" vertical="center" wrapText="1"/>
    </xf>
    <xf numFmtId="0" fontId="15" fillId="0" borderId="5" xfId="155" applyBorder="1" applyAlignment="1">
      <alignment horizontal="center" vertical="center" wrapText="1"/>
    </xf>
    <xf numFmtId="176" fontId="38" fillId="0" borderId="5" xfId="155" applyNumberFormat="1" applyFont="1" applyBorder="1" applyAlignment="1">
      <alignment horizontal="center" vertical="center"/>
    </xf>
    <xf numFmtId="176" fontId="112" fillId="0" borderId="5" xfId="155" applyNumberFormat="1" applyFont="1" applyBorder="1" applyAlignment="1">
      <alignment horizontal="center" vertical="center"/>
    </xf>
    <xf numFmtId="176" fontId="15" fillId="0" borderId="5" xfId="155" applyNumberFormat="1" applyBorder="1" applyAlignment="1">
      <alignment horizontal="center" vertical="center"/>
    </xf>
    <xf numFmtId="176" fontId="49" fillId="0" borderId="5" xfId="155" applyNumberFormat="1" applyFont="1" applyBorder="1" applyAlignment="1">
      <alignment horizontal="center" vertical="center"/>
    </xf>
    <xf numFmtId="0" fontId="113" fillId="0" borderId="5" xfId="155" applyFont="1" applyBorder="1" applyAlignment="1">
      <alignment horizontal="center" vertical="center"/>
    </xf>
    <xf numFmtId="0" fontId="15" fillId="0" borderId="5" xfId="155" applyFont="1" applyBorder="1" applyAlignment="1">
      <alignment horizontal="center" vertical="center"/>
    </xf>
    <xf numFmtId="176" fontId="113" fillId="0" borderId="5" xfId="155" applyNumberFormat="1" applyFont="1" applyBorder="1" applyAlignment="1">
      <alignment horizontal="center" vertical="center"/>
    </xf>
    <xf numFmtId="0" fontId="2" fillId="0" borderId="5" xfId="155" applyFont="1" applyBorder="1" applyAlignment="1">
      <alignment horizontal="center" vertical="center"/>
    </xf>
    <xf numFmtId="205" fontId="15" fillId="0" borderId="5" xfId="155" applyNumberFormat="1" applyBorder="1" applyAlignment="1">
      <alignment horizontal="center" vertical="center"/>
    </xf>
    <xf numFmtId="205" fontId="113" fillId="0" borderId="5" xfId="155" applyNumberFormat="1" applyFont="1" applyBorder="1" applyAlignment="1">
      <alignment horizontal="center" vertical="center"/>
    </xf>
    <xf numFmtId="0" fontId="10" fillId="0" borderId="5" xfId="155" applyFont="1" applyBorder="1" applyAlignment="1">
      <alignment horizontal="center" vertical="center"/>
    </xf>
    <xf numFmtId="205" fontId="10" fillId="0" borderId="5" xfId="155" applyNumberFormat="1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0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06" fillId="0" borderId="5" xfId="0" applyFont="1" applyBorder="1" applyAlignment="1">
      <alignment horizontal="left" vertical="top" wrapText="1"/>
    </xf>
    <xf numFmtId="0" fontId="107" fillId="42" borderId="30" xfId="0" applyFont="1" applyFill="1" applyBorder="1" applyAlignment="1">
      <alignment horizontal="left" vertical="top" wrapText="1"/>
    </xf>
    <xf numFmtId="0" fontId="107" fillId="42" borderId="32" xfId="0" applyFont="1" applyFill="1" applyBorder="1" applyAlignment="1">
      <alignment horizontal="left" vertical="top" wrapText="1"/>
    </xf>
    <xf numFmtId="0" fontId="107" fillId="0" borderId="5" xfId="0" applyFont="1" applyBorder="1" applyAlignment="1">
      <alignment horizontal="left" vertical="top" wrapText="1"/>
    </xf>
    <xf numFmtId="10" fontId="106" fillId="0" borderId="5" xfId="0" applyNumberFormat="1" applyFont="1" applyBorder="1" applyAlignment="1">
      <alignment horizontal="left" vertical="top" wrapText="1"/>
    </xf>
    <xf numFmtId="0" fontId="107" fillId="0" borderId="17" xfId="0" applyFont="1" applyBorder="1" applyAlignment="1">
      <alignment horizontal="left" vertical="top" wrapText="1"/>
    </xf>
    <xf numFmtId="0" fontId="72" fillId="0" borderId="0" xfId="0" applyFont="1" applyBorder="1" applyAlignment="1">
      <alignment horizontal="left" vertical="center"/>
    </xf>
    <xf numFmtId="0" fontId="107" fillId="0" borderId="30" xfId="0" applyFont="1" applyBorder="1" applyAlignment="1">
      <alignment horizontal="center" vertical="top" wrapText="1"/>
    </xf>
    <xf numFmtId="0" fontId="107" fillId="0" borderId="3" xfId="0" applyFont="1" applyBorder="1" applyAlignment="1">
      <alignment horizontal="center" vertical="top" wrapText="1"/>
    </xf>
    <xf numFmtId="0" fontId="107" fillId="0" borderId="32" xfId="0" applyFont="1" applyBorder="1" applyAlignment="1">
      <alignment horizontal="center" vertical="top" wrapText="1"/>
    </xf>
    <xf numFmtId="0" fontId="105" fillId="0" borderId="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03" fillId="0" borderId="0" xfId="0" applyFont="1" applyBorder="1" applyAlignment="1">
      <alignment horizontal="center" vertical="center"/>
    </xf>
    <xf numFmtId="0" fontId="72" fillId="0" borderId="0" xfId="0" applyFont="1" applyBorder="1" applyAlignment="1">
      <alignment horizontal="center" vertical="center"/>
    </xf>
    <xf numFmtId="0" fontId="10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4" fillId="0" borderId="0" xfId="110" applyFont="1" applyBorder="1" applyAlignment="1">
      <alignment horizontal="center" vertical="center"/>
    </xf>
    <xf numFmtId="0" fontId="84" fillId="0" borderId="0" xfId="110" applyFont="1" applyBorder="1" applyAlignment="1">
      <alignment horizontal="center" vertical="center"/>
    </xf>
    <xf numFmtId="0" fontId="8" fillId="0" borderId="30" xfId="110" applyFont="1" applyBorder="1" applyAlignment="1">
      <alignment horizontal="left" vertical="center"/>
    </xf>
    <xf numFmtId="0" fontId="8" fillId="0" borderId="3" xfId="110" applyFont="1" applyBorder="1" applyAlignment="1">
      <alignment horizontal="left" vertical="center"/>
    </xf>
    <xf numFmtId="0" fontId="8" fillId="0" borderId="32" xfId="110" applyFont="1" applyBorder="1" applyAlignment="1">
      <alignment horizontal="left" vertical="center"/>
    </xf>
    <xf numFmtId="0" fontId="2" fillId="0" borderId="5" xfId="110" applyBorder="1" applyAlignment="1">
      <alignment horizontal="center" vertical="center"/>
    </xf>
    <xf numFmtId="0" fontId="8" fillId="48" borderId="30" xfId="110" applyFont="1" applyFill="1" applyBorder="1" applyAlignment="1">
      <alignment horizontal="left" vertical="center"/>
    </xf>
    <xf numFmtId="0" fontId="8" fillId="48" borderId="3" xfId="110" applyFont="1" applyFill="1" applyBorder="1" applyAlignment="1">
      <alignment horizontal="left" vertical="center"/>
    </xf>
    <xf numFmtId="0" fontId="8" fillId="48" borderId="31" xfId="110" applyFont="1" applyFill="1" applyBorder="1" applyAlignment="1">
      <alignment horizontal="left" vertical="center"/>
    </xf>
    <xf numFmtId="0" fontId="8" fillId="37" borderId="30" xfId="110" applyFont="1" applyFill="1" applyBorder="1" applyAlignment="1">
      <alignment horizontal="center" vertical="center"/>
    </xf>
    <xf numFmtId="0" fontId="8" fillId="37" borderId="3" xfId="110" applyFont="1" applyFill="1" applyBorder="1" applyAlignment="1">
      <alignment horizontal="center" vertical="center"/>
    </xf>
    <xf numFmtId="0" fontId="8" fillId="37" borderId="32" xfId="110" applyFont="1" applyFill="1" applyBorder="1" applyAlignment="1">
      <alignment horizontal="center" vertical="center"/>
    </xf>
    <xf numFmtId="0" fontId="8" fillId="37" borderId="30" xfId="110" applyFont="1" applyFill="1" applyBorder="1" applyAlignment="1">
      <alignment horizontal="left" vertical="center"/>
    </xf>
    <xf numFmtId="0" fontId="8" fillId="37" borderId="3" xfId="110" applyFont="1" applyFill="1" applyBorder="1" applyAlignment="1">
      <alignment horizontal="left" vertical="center"/>
    </xf>
    <xf numFmtId="0" fontId="8" fillId="37" borderId="32" xfId="110" applyFont="1" applyFill="1" applyBorder="1" applyAlignment="1">
      <alignment horizontal="left" vertical="center"/>
    </xf>
    <xf numFmtId="0" fontId="53" fillId="37" borderId="5" xfId="110" applyFont="1" applyFill="1" applyBorder="1" applyAlignment="1">
      <alignment horizontal="center" vertical="center"/>
    </xf>
    <xf numFmtId="0" fontId="90" fillId="19" borderId="30" xfId="110" applyFont="1" applyFill="1" applyBorder="1" applyAlignment="1">
      <alignment horizontal="center" vertical="center"/>
    </xf>
    <xf numFmtId="0" fontId="90" fillId="19" borderId="3" xfId="110" applyFont="1" applyFill="1" applyBorder="1" applyAlignment="1">
      <alignment horizontal="center" vertical="center"/>
    </xf>
    <xf numFmtId="0" fontId="90" fillId="19" borderId="32" xfId="110" applyFont="1" applyFill="1" applyBorder="1" applyAlignment="1">
      <alignment horizontal="center" vertical="center"/>
    </xf>
    <xf numFmtId="0" fontId="6" fillId="40" borderId="24" xfId="110" applyFont="1" applyFill="1" applyBorder="1" applyAlignment="1">
      <alignment horizontal="center" vertical="center"/>
    </xf>
    <xf numFmtId="0" fontId="6" fillId="40" borderId="41" xfId="110" applyFont="1" applyFill="1" applyBorder="1" applyAlignment="1">
      <alignment horizontal="center" vertical="center"/>
    </xf>
    <xf numFmtId="0" fontId="6" fillId="0" borderId="5" xfId="110" applyFont="1" applyBorder="1" applyAlignment="1">
      <alignment horizontal="center" vertical="center"/>
    </xf>
    <xf numFmtId="176" fontId="5" fillId="40" borderId="5" xfId="110" applyNumberFormat="1" applyFont="1" applyFill="1" applyBorder="1" applyAlignment="1">
      <alignment horizontal="center" vertical="center"/>
    </xf>
    <xf numFmtId="0" fontId="6" fillId="0" borderId="17" xfId="110" applyFont="1" applyBorder="1" applyAlignment="1">
      <alignment horizontal="center" vertical="center"/>
    </xf>
    <xf numFmtId="0" fontId="6" fillId="0" borderId="28" xfId="110" applyFont="1" applyBorder="1" applyAlignment="1">
      <alignment horizontal="center" vertical="center"/>
    </xf>
    <xf numFmtId="0" fontId="0" fillId="33" borderId="5" xfId="0" applyFill="1" applyBorder="1" applyAlignment="1">
      <alignment horizontal="center" vertical="center"/>
    </xf>
    <xf numFmtId="180" fontId="0" fillId="0" borderId="30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32" xfId="0" applyNumberFormat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180" fontId="0" fillId="0" borderId="5" xfId="0" applyNumberFormat="1" applyFill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180" fontId="0" fillId="22" borderId="30" xfId="0" applyNumberFormat="1" applyFill="1" applyBorder="1" applyAlignment="1">
      <alignment horizontal="center" vertical="center"/>
    </xf>
    <xf numFmtId="180" fontId="0" fillId="22" borderId="3" xfId="0" applyNumberFormat="1" applyFill="1" applyBorder="1" applyAlignment="1">
      <alignment horizontal="center" vertical="center"/>
    </xf>
    <xf numFmtId="180" fontId="0" fillId="22" borderId="32" xfId="0" applyNumberFormat="1" applyFill="1" applyBorder="1" applyAlignment="1">
      <alignment horizontal="center" vertical="center"/>
    </xf>
    <xf numFmtId="180" fontId="0" fillId="33" borderId="30" xfId="0" applyNumberFormat="1" applyFill="1" applyBorder="1" applyAlignment="1">
      <alignment horizontal="center" vertical="center"/>
    </xf>
    <xf numFmtId="180" fontId="0" fillId="33" borderId="3" xfId="0" applyNumberFormat="1" applyFill="1" applyBorder="1" applyAlignment="1">
      <alignment horizontal="center" vertical="center"/>
    </xf>
    <xf numFmtId="180" fontId="0" fillId="33" borderId="32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 shrinkToFit="1"/>
    </xf>
    <xf numFmtId="176" fontId="0" fillId="0" borderId="30" xfId="0" applyNumberFormat="1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 shrinkToFit="1"/>
    </xf>
    <xf numFmtId="176" fontId="0" fillId="0" borderId="32" xfId="0" applyNumberFormat="1" applyFill="1" applyBorder="1" applyAlignment="1">
      <alignment horizontal="center" vertical="center" shrinkToFit="1"/>
    </xf>
    <xf numFmtId="176" fontId="0" fillId="22" borderId="30" xfId="0" applyNumberFormat="1" applyFill="1" applyBorder="1" applyAlignment="1">
      <alignment horizontal="center" vertical="center" shrinkToFit="1"/>
    </xf>
    <xf numFmtId="176" fontId="0" fillId="22" borderId="3" xfId="0" applyNumberFormat="1" applyFill="1" applyBorder="1" applyAlignment="1">
      <alignment horizontal="center" vertical="center" shrinkToFit="1"/>
    </xf>
    <xf numFmtId="176" fontId="0" fillId="22" borderId="32" xfId="0" applyNumberForma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80" fontId="0" fillId="0" borderId="30" xfId="0" applyNumberFormat="1" applyFill="1" applyBorder="1" applyAlignment="1">
      <alignment horizontal="center" vertical="center"/>
    </xf>
    <xf numFmtId="180" fontId="0" fillId="0" borderId="3" xfId="0" applyNumberFormat="1" applyFill="1" applyBorder="1" applyAlignment="1">
      <alignment horizontal="center" vertical="center"/>
    </xf>
    <xf numFmtId="180" fontId="0" fillId="0" borderId="32" xfId="0" applyNumberFormat="1" applyFill="1" applyBorder="1" applyAlignment="1">
      <alignment horizontal="center" vertical="center"/>
    </xf>
    <xf numFmtId="176" fontId="0" fillId="33" borderId="30" xfId="0" applyNumberFormat="1" applyFill="1" applyBorder="1" applyAlignment="1">
      <alignment horizontal="center" vertical="center" shrinkToFit="1"/>
    </xf>
    <xf numFmtId="176" fontId="0" fillId="33" borderId="3" xfId="0" applyNumberFormat="1" applyFill="1" applyBorder="1" applyAlignment="1">
      <alignment horizontal="center" vertical="center" shrinkToFit="1"/>
    </xf>
    <xf numFmtId="176" fontId="0" fillId="33" borderId="32" xfId="0" applyNumberFormat="1" applyFill="1" applyBorder="1" applyAlignment="1">
      <alignment horizontal="center" vertical="center" shrinkToFit="1"/>
    </xf>
    <xf numFmtId="0" fontId="0" fillId="0" borderId="30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32" xfId="0" applyFill="1" applyBorder="1" applyAlignment="1">
      <alignment horizontal="center" vertical="center" shrinkToFit="1"/>
    </xf>
    <xf numFmtId="0" fontId="5" fillId="0" borderId="5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180" fontId="0" fillId="0" borderId="30" xfId="0" applyNumberFormat="1" applyFill="1" applyBorder="1" applyAlignment="1">
      <alignment horizontal="center" vertical="center" shrinkToFit="1"/>
    </xf>
    <xf numFmtId="180" fontId="0" fillId="0" borderId="3" xfId="0" applyNumberFormat="1" applyFill="1" applyBorder="1" applyAlignment="1">
      <alignment horizontal="center" vertical="center" shrinkToFit="1"/>
    </xf>
    <xf numFmtId="180" fontId="0" fillId="0" borderId="32" xfId="0" applyNumberForma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/>
    </xf>
    <xf numFmtId="180" fontId="5" fillId="0" borderId="30" xfId="0" applyNumberFormat="1" applyFont="1" applyFill="1" applyBorder="1" applyAlignment="1">
      <alignment horizontal="center" vertical="center" shrinkToFit="1"/>
    </xf>
    <xf numFmtId="180" fontId="5" fillId="0" borderId="3" xfId="0" applyNumberFormat="1" applyFont="1" applyFill="1" applyBorder="1" applyAlignment="1">
      <alignment horizontal="center" vertical="center" shrinkToFit="1"/>
    </xf>
    <xf numFmtId="180" fontId="5" fillId="0" borderId="32" xfId="0" applyNumberFormat="1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/>
    </xf>
    <xf numFmtId="180" fontId="2" fillId="33" borderId="30" xfId="0" applyNumberFormat="1" applyFont="1" applyFill="1" applyBorder="1" applyAlignment="1">
      <alignment horizontal="center" vertical="center" shrinkToFit="1"/>
    </xf>
    <xf numFmtId="180" fontId="2" fillId="33" borderId="3" xfId="0" applyNumberFormat="1" applyFont="1" applyFill="1" applyBorder="1" applyAlignment="1">
      <alignment horizontal="center" vertical="center" shrinkToFit="1"/>
    </xf>
    <xf numFmtId="180" fontId="2" fillId="33" borderId="32" xfId="0" applyNumberFormat="1" applyFont="1" applyFill="1" applyBorder="1" applyAlignment="1">
      <alignment horizontal="center" vertical="center" shrinkToFit="1"/>
    </xf>
    <xf numFmtId="180" fontId="2" fillId="0" borderId="30" xfId="0" applyNumberFormat="1" applyFont="1" applyFill="1" applyBorder="1" applyAlignment="1">
      <alignment horizontal="center" vertical="center" shrinkToFit="1"/>
    </xf>
    <xf numFmtId="180" fontId="2" fillId="0" borderId="3" xfId="0" applyNumberFormat="1" applyFont="1" applyFill="1" applyBorder="1" applyAlignment="1">
      <alignment horizontal="center" vertical="center" shrinkToFit="1"/>
    </xf>
    <xf numFmtId="180" fontId="2" fillId="0" borderId="32" xfId="0" applyNumberFormat="1" applyFont="1" applyFill="1" applyBorder="1" applyAlignment="1">
      <alignment horizontal="center" vertical="center" shrinkToFit="1"/>
    </xf>
    <xf numFmtId="0" fontId="2" fillId="22" borderId="5" xfId="0" applyFont="1" applyFill="1" applyBorder="1" applyAlignment="1">
      <alignment horizontal="center" vertical="center"/>
    </xf>
    <xf numFmtId="176" fontId="2" fillId="22" borderId="30" xfId="0" applyNumberFormat="1" applyFont="1" applyFill="1" applyBorder="1" applyAlignment="1">
      <alignment horizontal="center" vertical="center" shrinkToFit="1"/>
    </xf>
    <xf numFmtId="176" fontId="2" fillId="22" borderId="3" xfId="0" applyNumberFormat="1" applyFont="1" applyFill="1" applyBorder="1" applyAlignment="1">
      <alignment horizontal="center" vertical="center" shrinkToFit="1"/>
    </xf>
    <xf numFmtId="176" fontId="2" fillId="22" borderId="32" xfId="0" applyNumberFormat="1" applyFont="1" applyFill="1" applyBorder="1" applyAlignment="1">
      <alignment horizontal="center" vertical="center" shrinkToFit="1"/>
    </xf>
    <xf numFmtId="180" fontId="0" fillId="33" borderId="5" xfId="0" applyNumberFormat="1" applyFill="1" applyBorder="1" applyAlignment="1">
      <alignment horizontal="center" vertical="center"/>
    </xf>
    <xf numFmtId="180" fontId="0" fillId="22" borderId="5" xfId="0" applyNumberFormat="1" applyFill="1" applyBorder="1" applyAlignment="1">
      <alignment horizontal="center" vertical="center"/>
    </xf>
    <xf numFmtId="0" fontId="0" fillId="37" borderId="5" xfId="0" applyFill="1" applyBorder="1" applyAlignment="1">
      <alignment horizontal="center" vertical="center"/>
    </xf>
    <xf numFmtId="0" fontId="69" fillId="35" borderId="5" xfId="0" applyFont="1" applyFill="1" applyBorder="1" applyAlignment="1">
      <alignment horizontal="center" vertical="center"/>
    </xf>
    <xf numFmtId="180" fontId="2" fillId="22" borderId="30" xfId="0" applyNumberFormat="1" applyFont="1" applyFill="1" applyBorder="1" applyAlignment="1">
      <alignment horizontal="center" vertical="center" shrinkToFit="1"/>
    </xf>
    <xf numFmtId="180" fontId="2" fillId="22" borderId="3" xfId="0" applyNumberFormat="1" applyFont="1" applyFill="1" applyBorder="1" applyAlignment="1">
      <alignment horizontal="center" vertical="center" shrinkToFit="1"/>
    </xf>
    <xf numFmtId="180" fontId="2" fillId="22" borderId="32" xfId="0" applyNumberFormat="1" applyFont="1" applyFill="1" applyBorder="1" applyAlignment="1">
      <alignment horizontal="center" vertical="center" shrinkToFit="1"/>
    </xf>
    <xf numFmtId="0" fontId="61" fillId="0" borderId="5" xfId="0" applyFont="1" applyBorder="1" applyAlignment="1">
      <alignment horizontal="center" vertical="center"/>
    </xf>
    <xf numFmtId="0" fontId="0" fillId="37" borderId="30" xfId="0" applyFill="1" applyBorder="1" applyAlignment="1">
      <alignment horizontal="center" vertical="center"/>
    </xf>
    <xf numFmtId="0" fontId="0" fillId="37" borderId="3" xfId="0" applyFill="1" applyBorder="1" applyAlignment="1">
      <alignment horizontal="center" vertical="center"/>
    </xf>
    <xf numFmtId="0" fontId="0" fillId="37" borderId="32" xfId="0" applyFill="1" applyBorder="1" applyAlignment="1">
      <alignment horizontal="center" vertical="center"/>
    </xf>
    <xf numFmtId="0" fontId="5" fillId="41" borderId="0" xfId="0" applyFont="1" applyFill="1" applyAlignment="1">
      <alignment horizontal="center" vertical="center"/>
    </xf>
    <xf numFmtId="0" fontId="76" fillId="0" borderId="0" xfId="114" applyFont="1" applyAlignment="1">
      <alignment horizontal="center" vertical="center"/>
    </xf>
    <xf numFmtId="0" fontId="76" fillId="0" borderId="0" xfId="114" applyFont="1" applyAlignment="1">
      <alignment horizontal="left" vertical="center"/>
    </xf>
    <xf numFmtId="0" fontId="76" fillId="0" borderId="0" xfId="114" applyFont="1" applyAlignment="1">
      <alignment horizontal="center" vertical="center" wrapText="1"/>
    </xf>
    <xf numFmtId="0" fontId="76" fillId="0" borderId="0" xfId="114" applyFont="1" applyBorder="1" applyAlignment="1">
      <alignment horizontal="center" vertical="center"/>
    </xf>
    <xf numFmtId="0" fontId="76" fillId="0" borderId="0" xfId="114" applyFont="1" applyBorder="1" applyAlignment="1">
      <alignment horizontal="left" vertical="center"/>
    </xf>
    <xf numFmtId="0" fontId="9" fillId="41" borderId="5" xfId="110" applyFont="1" applyFill="1" applyBorder="1" applyAlignment="1">
      <alignment horizontal="center" vertical="center"/>
    </xf>
    <xf numFmtId="179" fontId="2" fillId="32" borderId="5" xfId="110" applyNumberFormat="1" applyFill="1" applyBorder="1" applyAlignment="1">
      <alignment horizontal="center" vertical="center"/>
    </xf>
    <xf numFmtId="0" fontId="2" fillId="0" borderId="5" xfId="110" applyFill="1" applyBorder="1" applyAlignment="1">
      <alignment horizontal="center" vertical="center" wrapText="1"/>
    </xf>
    <xf numFmtId="0" fontId="2" fillId="35" borderId="5" xfId="110" applyFill="1" applyBorder="1" applyAlignment="1">
      <alignment horizontal="center" vertical="center" wrapText="1"/>
    </xf>
    <xf numFmtId="0" fontId="5" fillId="35" borderId="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5" borderId="30" xfId="0" applyFont="1" applyFill="1" applyBorder="1" applyAlignment="1">
      <alignment horizontal="center" vertical="center"/>
    </xf>
    <xf numFmtId="0" fontId="5" fillId="35" borderId="32" xfId="0" applyFont="1" applyFill="1" applyBorder="1" applyAlignment="1">
      <alignment horizontal="center" vertical="center"/>
    </xf>
    <xf numFmtId="0" fontId="5" fillId="35" borderId="33" xfId="0" applyFont="1" applyFill="1" applyBorder="1" applyAlignment="1">
      <alignment horizontal="center" vertical="center"/>
    </xf>
    <xf numFmtId="0" fontId="5" fillId="35" borderId="31" xfId="0" applyFont="1" applyFill="1" applyBorder="1" applyAlignment="1">
      <alignment horizontal="center" vertical="center"/>
    </xf>
    <xf numFmtId="0" fontId="5" fillId="35" borderId="36" xfId="0" applyFont="1" applyFill="1" applyBorder="1" applyAlignment="1">
      <alignment horizontal="center" vertical="center"/>
    </xf>
    <xf numFmtId="0" fontId="5" fillId="35" borderId="37" xfId="0" applyFont="1" applyFill="1" applyBorder="1" applyAlignment="1">
      <alignment horizontal="center" vertical="center"/>
    </xf>
    <xf numFmtId="0" fontId="108" fillId="0" borderId="0" xfId="155" applyFont="1" applyAlignment="1">
      <alignment horizontal="center" vertical="center"/>
    </xf>
    <xf numFmtId="0" fontId="109" fillId="0" borderId="0" xfId="155" applyFont="1" applyAlignment="1">
      <alignment horizontal="center" vertical="center"/>
    </xf>
    <xf numFmtId="0" fontId="15" fillId="0" borderId="1" xfId="155" applyFont="1" applyBorder="1" applyAlignment="1">
      <alignment horizontal="left" vertical="center" wrapText="1"/>
    </xf>
    <xf numFmtId="0" fontId="15" fillId="0" borderId="1" xfId="155" applyBorder="1" applyAlignment="1">
      <alignment horizontal="left" vertical="center" wrapText="1"/>
    </xf>
    <xf numFmtId="0" fontId="49" fillId="0" borderId="0" xfId="155" applyFont="1" applyAlignment="1">
      <alignment horizontal="center" vertical="center"/>
    </xf>
    <xf numFmtId="0" fontId="15" fillId="0" borderId="0" xfId="155" applyFont="1" applyAlignment="1">
      <alignment horizontal="center" vertical="center"/>
    </xf>
    <xf numFmtId="0" fontId="15" fillId="0" borderId="0" xfId="155" applyAlignment="1">
      <alignment horizontal="center" vertical="center"/>
    </xf>
  </cellXfs>
  <cellStyles count="156">
    <cellStyle name="?ðK_x000c_F?_x000d_9ýU_x0001_??_x0007__x0001__x0001_" xfId="1"/>
    <cellStyle name="?鹎%U龡&amp;H?_x0008_e_x0005_9_x0006__x0007__x0001__x0001_" xfId="2"/>
    <cellStyle name="_BA0714-1" xfId="3"/>
    <cellStyle name="_BA1" xfId="4"/>
    <cellStyle name="_Book1" xfId="5"/>
    <cellStyle name="_ELV-out-8.31" xfId="6"/>
    <cellStyle name="_ET_STYLE_NoName_00_" xfId="7"/>
    <cellStyle name="_ET_STYLE_NoName_00__7月份工资表" xfId="8"/>
    <cellStyle name="_ET_STYLE_NoName_00__Book1" xfId="9"/>
    <cellStyle name="_ET_STYLE_NoName_00__Book1_计算" xfId="10"/>
    <cellStyle name="_ET_STYLE_NoName_00__第四周" xfId="11"/>
    <cellStyle name="_ET_STYLE_NoName_00__计算" xfId="12"/>
    <cellStyle name="_安保" xfId="13"/>
    <cellStyle name="_报价汇总表3" xfId="14"/>
    <cellStyle name="_土控音视频报价040828" xfId="15"/>
    <cellStyle name="_系统报价-9.27-1" xfId="16"/>
    <cellStyle name="»õ±Ò[0]_PLDT" xfId="17"/>
    <cellStyle name="»õ±Ò_PLDT" xfId="18"/>
    <cellStyle name="0%" xfId="19"/>
    <cellStyle name="0,0_x000d_&#10;NA_x000d_&#10;" xfId="20"/>
    <cellStyle name="0.0%" xfId="21"/>
    <cellStyle name="0.00%" xfId="22"/>
    <cellStyle name="20% - 强调文字颜色 1" xfId="23" builtinId="30" customBuiltin="1"/>
    <cellStyle name="20% - 强调文字颜色 2" xfId="24" builtinId="34" customBuiltin="1"/>
    <cellStyle name="20% - 强调文字颜色 3" xfId="25" builtinId="38" customBuiltin="1"/>
    <cellStyle name="20% - 强调文字颜色 4" xfId="26" builtinId="42" customBuiltin="1"/>
    <cellStyle name="20% - 强调文字颜色 5" xfId="27" builtinId="46" customBuiltin="1"/>
    <cellStyle name="20% - 强调文字颜色 6" xfId="28" builtinId="50" customBuiltin="1"/>
    <cellStyle name="³£¹æ_PLDT" xfId="29"/>
    <cellStyle name="³¬¼¶Á´½Ó" xfId="30"/>
    <cellStyle name="40% - 强调文字颜色 1" xfId="31" builtinId="31" customBuiltin="1"/>
    <cellStyle name="40% - 强调文字颜色 2" xfId="32" builtinId="35" customBuiltin="1"/>
    <cellStyle name="40% - 强调文字颜色 3" xfId="33" builtinId="39" customBuiltin="1"/>
    <cellStyle name="40% - 强调文字颜色 4" xfId="34" builtinId="43" customBuiltin="1"/>
    <cellStyle name="40% - 强调文字颜色 5" xfId="35" builtinId="47" customBuiltin="1"/>
    <cellStyle name="40% - 强调文字颜色 6" xfId="36" builtinId="51" customBuiltin="1"/>
    <cellStyle name="60% - 强调文字颜色 1" xfId="37" builtinId="32" customBuiltin="1"/>
    <cellStyle name="60% - 强调文字颜色 2" xfId="38" builtinId="36" customBuiltin="1"/>
    <cellStyle name="60% - 强调文字颜色 3" xfId="39" builtinId="40" customBuiltin="1"/>
    <cellStyle name="60% - 强调文字颜色 4" xfId="40" builtinId="44" customBuiltin="1"/>
    <cellStyle name="60% - 强调文字颜色 5" xfId="41" builtinId="48" customBuiltin="1"/>
    <cellStyle name="60% - 强调文字颜色 6" xfId="42" builtinId="52" customBuiltin="1"/>
    <cellStyle name="args.style" xfId="43"/>
    <cellStyle name="Ç§Î»·Ö¸ô[0]_PLDT" xfId="44"/>
    <cellStyle name="Ç§Î»·Ö¸ô_PLDT" xfId="45"/>
    <cellStyle name="Calc Currency (0)" xfId="46"/>
    <cellStyle name="Col Heads" xfId="47"/>
    <cellStyle name="Comma,0" xfId="48"/>
    <cellStyle name="Comma,1" xfId="49"/>
    <cellStyle name="Comma,2" xfId="50"/>
    <cellStyle name="Copied" xfId="51"/>
    <cellStyle name="Currency,0" xfId="52"/>
    <cellStyle name="Currency,2" xfId="53"/>
    <cellStyle name="Entered" xfId="54"/>
    <cellStyle name="Grey" xfId="55"/>
    <cellStyle name="Header1" xfId="56"/>
    <cellStyle name="Header2" xfId="57"/>
    <cellStyle name="HEADINGS" xfId="58"/>
    <cellStyle name="HEADINGSTOP" xfId="59"/>
    <cellStyle name="Input [yellow]" xfId="60"/>
    <cellStyle name="Komma [0]_laroux" xfId="61"/>
    <cellStyle name="Komma_laroux" xfId="62"/>
    <cellStyle name="Millares [0]_laroux" xfId="63"/>
    <cellStyle name="Millares_laroux" xfId="64"/>
    <cellStyle name="Model" xfId="65"/>
    <cellStyle name="Moneda [0]_laroux" xfId="66"/>
    <cellStyle name="Moneda_laroux" xfId="67"/>
    <cellStyle name="New" xfId="68"/>
    <cellStyle name="no dec" xfId="69"/>
    <cellStyle name="Normal - Style1" xfId="70"/>
    <cellStyle name="Normal_0105第二套审计报表定稿" xfId="71"/>
    <cellStyle name="oft Excel]_x000d_&#10;Comment=open=/f ?ew¡¯¨¨?¡¤?¨¦??A??[?U[¡¯¨¨?`??¡?e??¡±¡°\?¨¨?t?¡¥?¨¬?¨º¡ª¡ª?¨¦¡°o?^?¡¤?¨¦?¡À???a?????¨¹?¡¤B_x000d_&#10;Maximized" xfId="72"/>
    <cellStyle name="ºó¼Ì³¬¼¶Á´½Ó" xfId="73"/>
    <cellStyle name="per.style" xfId="74"/>
    <cellStyle name="Percent [2]" xfId="75"/>
    <cellStyle name="pricing" xfId="76"/>
    <cellStyle name="Pricing Text" xfId="77"/>
    <cellStyle name="PSChar" xfId="78"/>
    <cellStyle name="PSHeading" xfId="79"/>
    <cellStyle name="regstoresfromspecstores" xfId="80"/>
    <cellStyle name="Released" xfId="81"/>
    <cellStyle name="RevList" xfId="82"/>
    <cellStyle name="S1-0" xfId="83"/>
    <cellStyle name="S1-1" xfId="84"/>
    <cellStyle name="S1-2" xfId="85"/>
    <cellStyle name="S1-3" xfId="86"/>
    <cellStyle name="S1-4" xfId="87"/>
    <cellStyle name="S1-5" xfId="88"/>
    <cellStyle name="S1-6" xfId="89"/>
    <cellStyle name="SHADEDSTORES" xfId="90"/>
    <cellStyle name="specstores" xfId="91"/>
    <cellStyle name="Standaard_laroux" xfId="92"/>
    <cellStyle name="Standard_HVAC2" xfId="93"/>
    <cellStyle name="Subtotal" xfId="94"/>
    <cellStyle name="underline" xfId="95"/>
    <cellStyle name="Valuta [0]_laroux" xfId="96"/>
    <cellStyle name="Valuta_laroux" xfId="97"/>
    <cellStyle name="_pldt_1EG" xfId="98"/>
    <cellStyle name="だ[0]_PLDTSx_" xfId="99"/>
    <cellStyle name="だ_PLDTLDT" xfId="100"/>
    <cellStyle name="标题" xfId="101" builtinId="15" customBuiltin="1"/>
    <cellStyle name="标题 1" xfId="102" builtinId="16" customBuiltin="1"/>
    <cellStyle name="标题 2" xfId="103" builtinId="17" customBuiltin="1"/>
    <cellStyle name="标题 3" xfId="104" builtinId="18" customBuiltin="1"/>
    <cellStyle name="标题 4" xfId="105" builtinId="19" customBuiltin="1"/>
    <cellStyle name="差" xfId="106" builtinId="27" customBuiltin="1"/>
    <cellStyle name="差_18MW煤气综合利用工程概算总表20140331" xfId="107"/>
    <cellStyle name="差_BA点数配置表" xfId="108"/>
    <cellStyle name="差_Book1" xfId="109"/>
    <cellStyle name="常规" xfId="0" builtinId="0"/>
    <cellStyle name="常规 2" xfId="110"/>
    <cellStyle name="常规 3" xfId="111"/>
    <cellStyle name="常规 4" xfId="112"/>
    <cellStyle name="常规 5" xfId="113"/>
    <cellStyle name="常规 6" xfId="151"/>
    <cellStyle name="常规_01.烧结发电" xfId="152"/>
    <cellStyle name="常规_1.17计算（CFB锅炉）-超临界" xfId="114"/>
    <cellStyle name="常规_18MW煤气综合利用工程概算总表20140331" xfId="155"/>
    <cellStyle name="常规_CFB锅炉-次高温次高压" xfId="115"/>
    <cellStyle name="常规_发电估算表" xfId="153"/>
    <cellStyle name="常规_烧结线数据1" xfId="154"/>
    <cellStyle name="超级链接_日常管理" xfId="116"/>
    <cellStyle name="好" xfId="117" builtinId="26" customBuiltin="1"/>
    <cellStyle name="好_18MW煤气综合利用工程概算总表20140331" xfId="118"/>
    <cellStyle name="好_BA点数配置表" xfId="119"/>
    <cellStyle name="好_Book1" xfId="120"/>
    <cellStyle name="汇总" xfId="121" builtinId="25" customBuiltin="1"/>
    <cellStyle name="计算" xfId="122" builtinId="22" customBuiltin="1"/>
    <cellStyle name="检查单元格" xfId="123" builtinId="23" customBuiltin="1"/>
    <cellStyle name="解释性文本" xfId="124" builtinId="53" customBuiltin="1"/>
    <cellStyle name="警告文本" xfId="125" builtinId="11" customBuiltin="1"/>
    <cellStyle name="链接单元格" xfId="126" builtinId="24" customBuiltin="1"/>
    <cellStyle name="霓付 [0]_97MBO" xfId="127"/>
    <cellStyle name="霓付_97MBO" xfId="128"/>
    <cellStyle name="烹拳 [0]_97MBO" xfId="129"/>
    <cellStyle name="烹拳_97MBO" xfId="130"/>
    <cellStyle name="砯刽 [0]_PLDT1x" xfId="131"/>
    <cellStyle name="砯刽_PLDTPL" xfId="132"/>
    <cellStyle name="普通_ 白土" xfId="133"/>
    <cellStyle name="千分位[0]_ 白土" xfId="134"/>
    <cellStyle name="千分位_ 白土" xfId="135"/>
    <cellStyle name="千位[0]_3520" xfId="136"/>
    <cellStyle name="千位_3520" xfId="137"/>
    <cellStyle name="钎霖_laroux" xfId="138"/>
    <cellStyle name="强调文字颜色 1" xfId="139" builtinId="29" customBuiltin="1"/>
    <cellStyle name="强调文字颜色 2" xfId="140" builtinId="33" customBuiltin="1"/>
    <cellStyle name="强调文字颜色 3" xfId="141" builtinId="37" customBuiltin="1"/>
    <cellStyle name="强调文字颜色 4" xfId="142" builtinId="41" customBuiltin="1"/>
    <cellStyle name="强调文字颜色 5" xfId="143" builtinId="45" customBuiltin="1"/>
    <cellStyle name="强调文字颜色 6" xfId="144" builtinId="49" customBuiltin="1"/>
    <cellStyle name="适中" xfId="145" builtinId="28" customBuiltin="1"/>
    <cellStyle name="输出" xfId="146" builtinId="21" customBuiltin="1"/>
    <cellStyle name="输入" xfId="147" builtinId="20" customBuiltin="1"/>
    <cellStyle name="样式 1" xfId="148"/>
    <cellStyle name="一般_TOSHIBA CTX100-PRICE" xfId="149"/>
    <cellStyle name="注释" xfId="150" builtinId="10" customBuiltin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jpeg"/><Relationship Id="rId1" Type="http://schemas.openxmlformats.org/officeDocument/2006/relationships/image" Target="../media/image19.jpe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wmf"/><Relationship Id="rId7" Type="http://schemas.openxmlformats.org/officeDocument/2006/relationships/image" Target="../media/image31.wmf"/><Relationship Id="rId2" Type="http://schemas.openxmlformats.org/officeDocument/2006/relationships/image" Target="../media/image26.wmf"/><Relationship Id="rId1" Type="http://schemas.openxmlformats.org/officeDocument/2006/relationships/image" Target="../media/image25.wmf"/><Relationship Id="rId6" Type="http://schemas.openxmlformats.org/officeDocument/2006/relationships/image" Target="../media/image30.wmf"/><Relationship Id="rId5" Type="http://schemas.openxmlformats.org/officeDocument/2006/relationships/image" Target="../media/image29.wmf"/><Relationship Id="rId4" Type="http://schemas.openxmlformats.org/officeDocument/2006/relationships/image" Target="../media/image28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56</xdr:col>
      <xdr:colOff>28575</xdr:colOff>
      <xdr:row>79</xdr:row>
      <xdr:rowOff>19050</xdr:rowOff>
    </xdr:from>
    <xdr:to>
      <xdr:col>68</xdr:col>
      <xdr:colOff>19050</xdr:colOff>
      <xdr:row>80</xdr:row>
      <xdr:rowOff>85725</xdr:rowOff>
    </xdr:to>
    <xdr:pic>
      <xdr:nvPicPr>
        <xdr:cNvPr id="1650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62775" y="14316075"/>
          <a:ext cx="1476375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55</xdr:col>
      <xdr:colOff>85725</xdr:colOff>
      <xdr:row>80</xdr:row>
      <xdr:rowOff>123825</xdr:rowOff>
    </xdr:from>
    <xdr:to>
      <xdr:col>71</xdr:col>
      <xdr:colOff>9525</xdr:colOff>
      <xdr:row>82</xdr:row>
      <xdr:rowOff>0</xdr:rowOff>
    </xdr:to>
    <xdr:pic>
      <xdr:nvPicPr>
        <xdr:cNvPr id="1650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896100" y="14601825"/>
          <a:ext cx="1905000" cy="238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67</xdr:col>
      <xdr:colOff>9525</xdr:colOff>
      <xdr:row>82</xdr:row>
      <xdr:rowOff>0</xdr:rowOff>
    </xdr:from>
    <xdr:to>
      <xdr:col>78</xdr:col>
      <xdr:colOff>19050</xdr:colOff>
      <xdr:row>83</xdr:row>
      <xdr:rowOff>38100</xdr:rowOff>
    </xdr:to>
    <xdr:pic>
      <xdr:nvPicPr>
        <xdr:cNvPr id="1650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305800" y="14839950"/>
          <a:ext cx="137160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56</xdr:col>
      <xdr:colOff>0</xdr:colOff>
      <xdr:row>83</xdr:row>
      <xdr:rowOff>0</xdr:rowOff>
    </xdr:from>
    <xdr:to>
      <xdr:col>66</xdr:col>
      <xdr:colOff>28575</xdr:colOff>
      <xdr:row>84</xdr:row>
      <xdr:rowOff>38100</xdr:rowOff>
    </xdr:to>
    <xdr:pic>
      <xdr:nvPicPr>
        <xdr:cNvPr id="1650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34200" y="15020925"/>
          <a:ext cx="126682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59</xdr:col>
      <xdr:colOff>9525</xdr:colOff>
      <xdr:row>85</xdr:row>
      <xdr:rowOff>142875</xdr:rowOff>
    </xdr:from>
    <xdr:to>
      <xdr:col>76</xdr:col>
      <xdr:colOff>114300</xdr:colOff>
      <xdr:row>88</xdr:row>
      <xdr:rowOff>85725</xdr:rowOff>
    </xdr:to>
    <xdr:pic>
      <xdr:nvPicPr>
        <xdr:cNvPr id="1650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315200" y="15525750"/>
          <a:ext cx="2209800" cy="485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58</xdr:col>
      <xdr:colOff>76200</xdr:colOff>
      <xdr:row>88</xdr:row>
      <xdr:rowOff>66675</xdr:rowOff>
    </xdr:from>
    <xdr:to>
      <xdr:col>75</xdr:col>
      <xdr:colOff>57150</xdr:colOff>
      <xdr:row>89</xdr:row>
      <xdr:rowOff>152400</xdr:rowOff>
    </xdr:to>
    <xdr:pic>
      <xdr:nvPicPr>
        <xdr:cNvPr id="1650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58050" y="15992475"/>
          <a:ext cx="2085975" cy="2667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59</xdr:col>
      <xdr:colOff>0</xdr:colOff>
      <xdr:row>90</xdr:row>
      <xdr:rowOff>28575</xdr:rowOff>
    </xdr:from>
    <xdr:to>
      <xdr:col>74</xdr:col>
      <xdr:colOff>9525</xdr:colOff>
      <xdr:row>91</xdr:row>
      <xdr:rowOff>123825</xdr:rowOff>
    </xdr:to>
    <xdr:pic>
      <xdr:nvPicPr>
        <xdr:cNvPr id="1650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305675" y="16316325"/>
          <a:ext cx="1866900" cy="2762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45</xdr:col>
      <xdr:colOff>38100</xdr:colOff>
      <xdr:row>91</xdr:row>
      <xdr:rowOff>19050</xdr:rowOff>
    </xdr:from>
    <xdr:to>
      <xdr:col>55</xdr:col>
      <xdr:colOff>28575</xdr:colOff>
      <xdr:row>92</xdr:row>
      <xdr:rowOff>0</xdr:rowOff>
    </xdr:to>
    <xdr:pic>
      <xdr:nvPicPr>
        <xdr:cNvPr id="1650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10225" y="16487775"/>
          <a:ext cx="1228725" cy="161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90</xdr:col>
      <xdr:colOff>95250</xdr:colOff>
      <xdr:row>77</xdr:row>
      <xdr:rowOff>142875</xdr:rowOff>
    </xdr:from>
    <xdr:to>
      <xdr:col>157</xdr:col>
      <xdr:colOff>76200</xdr:colOff>
      <xdr:row>91</xdr:row>
      <xdr:rowOff>57150</xdr:rowOff>
    </xdr:to>
    <xdr:pic>
      <xdr:nvPicPr>
        <xdr:cNvPr id="165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239500" y="14077950"/>
          <a:ext cx="8277225" cy="2447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45</xdr:col>
      <xdr:colOff>57150</xdr:colOff>
      <xdr:row>92</xdr:row>
      <xdr:rowOff>9525</xdr:rowOff>
    </xdr:from>
    <xdr:to>
      <xdr:col>55</xdr:col>
      <xdr:colOff>104775</xdr:colOff>
      <xdr:row>93</xdr:row>
      <xdr:rowOff>19050</xdr:rowOff>
    </xdr:to>
    <xdr:pic>
      <xdr:nvPicPr>
        <xdr:cNvPr id="165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29275" y="16659225"/>
          <a:ext cx="128587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45</xdr:col>
      <xdr:colOff>47625</xdr:colOff>
      <xdr:row>93</xdr:row>
      <xdr:rowOff>9525</xdr:rowOff>
    </xdr:from>
    <xdr:to>
      <xdr:col>57</xdr:col>
      <xdr:colOff>9525</xdr:colOff>
      <xdr:row>94</xdr:row>
      <xdr:rowOff>28575</xdr:rowOff>
    </xdr:to>
    <xdr:pic>
      <xdr:nvPicPr>
        <xdr:cNvPr id="1651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619750" y="16840200"/>
          <a:ext cx="14478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79</xdr:col>
      <xdr:colOff>0</xdr:colOff>
      <xdr:row>150</xdr:row>
      <xdr:rowOff>0</xdr:rowOff>
    </xdr:from>
    <xdr:to>
      <xdr:col>146</xdr:col>
      <xdr:colOff>9525</xdr:colOff>
      <xdr:row>173</xdr:row>
      <xdr:rowOff>0</xdr:rowOff>
    </xdr:to>
    <xdr:pic>
      <xdr:nvPicPr>
        <xdr:cNvPr id="1651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782175" y="27146250"/>
          <a:ext cx="8305800" cy="416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48</xdr:col>
      <xdr:colOff>95250</xdr:colOff>
      <xdr:row>98</xdr:row>
      <xdr:rowOff>76200</xdr:rowOff>
    </xdr:from>
    <xdr:to>
      <xdr:col>77</xdr:col>
      <xdr:colOff>9525</xdr:colOff>
      <xdr:row>103</xdr:row>
      <xdr:rowOff>152400</xdr:rowOff>
    </xdr:to>
    <xdr:pic>
      <xdr:nvPicPr>
        <xdr:cNvPr id="16533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38850" y="17811750"/>
          <a:ext cx="3505200" cy="981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77</xdr:col>
      <xdr:colOff>114300</xdr:colOff>
      <xdr:row>98</xdr:row>
      <xdr:rowOff>114300</xdr:rowOff>
    </xdr:from>
    <xdr:to>
      <xdr:col>96</xdr:col>
      <xdr:colOff>9525</xdr:colOff>
      <xdr:row>103</xdr:row>
      <xdr:rowOff>171450</xdr:rowOff>
    </xdr:to>
    <xdr:pic>
      <xdr:nvPicPr>
        <xdr:cNvPr id="16534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48825" y="17849850"/>
          <a:ext cx="2247900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49</xdr:col>
      <xdr:colOff>0</xdr:colOff>
      <xdr:row>107</xdr:row>
      <xdr:rowOff>0</xdr:rowOff>
    </xdr:from>
    <xdr:to>
      <xdr:col>106</xdr:col>
      <xdr:colOff>66675</xdr:colOff>
      <xdr:row>111</xdr:row>
      <xdr:rowOff>47625</xdr:rowOff>
    </xdr:to>
    <xdr:pic>
      <xdr:nvPicPr>
        <xdr:cNvPr id="16535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67425" y="19364325"/>
          <a:ext cx="7124700" cy="771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48</xdr:col>
      <xdr:colOff>19050</xdr:colOff>
      <xdr:row>114</xdr:row>
      <xdr:rowOff>161925</xdr:rowOff>
    </xdr:from>
    <xdr:to>
      <xdr:col>102</xdr:col>
      <xdr:colOff>76200</xdr:colOff>
      <xdr:row>117</xdr:row>
      <xdr:rowOff>28575</xdr:rowOff>
    </xdr:to>
    <xdr:pic>
      <xdr:nvPicPr>
        <xdr:cNvPr id="16536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62650" y="20793075"/>
          <a:ext cx="6743700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48</xdr:col>
      <xdr:colOff>0</xdr:colOff>
      <xdr:row>121</xdr:row>
      <xdr:rowOff>0</xdr:rowOff>
    </xdr:from>
    <xdr:to>
      <xdr:col>104</xdr:col>
      <xdr:colOff>19050</xdr:colOff>
      <xdr:row>123</xdr:row>
      <xdr:rowOff>47625</xdr:rowOff>
    </xdr:to>
    <xdr:pic>
      <xdr:nvPicPr>
        <xdr:cNvPr id="16537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43600" y="21897975"/>
          <a:ext cx="6953250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49</xdr:col>
      <xdr:colOff>0</xdr:colOff>
      <xdr:row>127</xdr:row>
      <xdr:rowOff>0</xdr:rowOff>
    </xdr:from>
    <xdr:to>
      <xdr:col>115</xdr:col>
      <xdr:colOff>19050</xdr:colOff>
      <xdr:row>129</xdr:row>
      <xdr:rowOff>76200</xdr:rowOff>
    </xdr:to>
    <xdr:pic>
      <xdr:nvPicPr>
        <xdr:cNvPr id="16538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067425" y="22983825"/>
          <a:ext cx="8191500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790575</xdr:colOff>
      <xdr:row>141</xdr:row>
      <xdr:rowOff>9525</xdr:rowOff>
    </xdr:from>
    <xdr:to>
      <xdr:col>17</xdr:col>
      <xdr:colOff>29818</xdr:colOff>
      <xdr:row>177</xdr:row>
      <xdr:rowOff>95250</xdr:rowOff>
    </xdr:to>
    <xdr:pic>
      <xdr:nvPicPr>
        <xdr:cNvPr id="74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91675" y="27346275"/>
          <a:ext cx="7934325" cy="66008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0</xdr:colOff>
      <xdr:row>110</xdr:row>
      <xdr:rowOff>0</xdr:rowOff>
    </xdr:from>
    <xdr:to>
      <xdr:col>15</xdr:col>
      <xdr:colOff>622024</xdr:colOff>
      <xdr:row>138</xdr:row>
      <xdr:rowOff>19050</xdr:rowOff>
    </xdr:to>
    <xdr:pic>
      <xdr:nvPicPr>
        <xdr:cNvPr id="74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100" y="21478875"/>
          <a:ext cx="7943850" cy="5334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85725</xdr:colOff>
      <xdr:row>86</xdr:row>
      <xdr:rowOff>76200</xdr:rowOff>
    </xdr:from>
    <xdr:to>
      <xdr:col>18</xdr:col>
      <xdr:colOff>402949</xdr:colOff>
      <xdr:row>108</xdr:row>
      <xdr:rowOff>104775</xdr:rowOff>
    </xdr:to>
    <xdr:pic>
      <xdr:nvPicPr>
        <xdr:cNvPr id="741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86825" y="17211675"/>
          <a:ext cx="9696450" cy="401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361950</xdr:colOff>
      <xdr:row>82</xdr:row>
      <xdr:rowOff>133350</xdr:rowOff>
    </xdr:from>
    <xdr:to>
      <xdr:col>12</xdr:col>
      <xdr:colOff>441049</xdr:colOff>
      <xdr:row>85</xdr:row>
      <xdr:rowOff>47625</xdr:rowOff>
    </xdr:to>
    <xdr:pic>
      <xdr:nvPicPr>
        <xdr:cNvPr id="741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163050" y="16544925"/>
          <a:ext cx="5343525" cy="457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657225</xdr:colOff>
      <xdr:row>117</xdr:row>
      <xdr:rowOff>19050</xdr:rowOff>
    </xdr:from>
    <xdr:to>
      <xdr:col>4</xdr:col>
      <xdr:colOff>3171825</xdr:colOff>
      <xdr:row>118</xdr:row>
      <xdr:rowOff>133350</xdr:rowOff>
    </xdr:to>
    <xdr:pic>
      <xdr:nvPicPr>
        <xdr:cNvPr id="742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095750" y="22764750"/>
          <a:ext cx="2514600" cy="295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990600</xdr:colOff>
      <xdr:row>11</xdr:row>
      <xdr:rowOff>171450</xdr:rowOff>
    </xdr:from>
    <xdr:ext cx="7210425" cy="962025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010650" y="2228850"/>
          <a:ext cx="7210425" cy="962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&#26700;&#38754;\Documents%20and%20Settings\E296682\Local%20Settings\Temporary%20Internet%20Files\OLK2B\BA&#28857;&#25968;&amp;&#25253;&#20215;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&#29028;&#27668;&#21457;&#30005;&#35745;&#31639;/&#29028;&#27668;&#21457;&#30005;&#35745;&#31639;---&#24037;&#20316;&#31807;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9028;&#27668;&#21457;&#30005;\&#29028;&#27668;&#21457;&#30005;\&#29028;&#27668;&#21457;&#30005;\&#29028;&#27668;&#21457;&#30005;&#35745;&#31639;--&#36741;&#26426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CFB&#38149;&#28809;-&#27425;&#39640;&#28201;&#27425;&#39640;&#21387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9028;&#27668;&#21457;&#30005;\&#29028;&#27668;&#21457;&#30005;\&#29028;&#27668;&#21457;&#30005;\&#26041;&#26696;--XXX&#21457;&#30005;&#35745;&#3163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&#26700;&#38754;\&#37329;&#24425;&#34425;\&#23425;&#27874;&#24320;&#20803;&#21517;&#37117;&#22823;&#37202;&#24215;\&#19996;&#37066;&#23486;&#39302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&#26700;&#38754;\&#37329;&#24425;&#34425;\0303B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&#26700;&#38754;\&#37329;&#24425;&#34425;\0401&#28142;&#28023;&#22269;&#38469;&#25253;&#20215;\0405&#25253;&#20215;&#27719;&#24635;&#34920;3.2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&#26700;&#38754;\Documents%20and%20Settings\bwu\My%20Projects\&#22825;&#27941;&#20013;&#29615;&#20844;&#21496;&#39033;&#30446;\&#28392;&#28023;&#22270;&#32440;\&#28392;&#28023;&#22269;&#36152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&#26700;&#38754;\My%20Projects\&#20854;&#23427;\WD%20Business%20Palaze\&#28857;&#34920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&#26700;&#38754;\honeywell\project\2004\&#22797;&#26086;&#20809;&#21326;\BMS-6.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Administrator\&#26700;&#38754;\My%20Projects\&#20854;&#23427;\618\61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-96013B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冷热源"/>
      <sheetName val="空调"/>
      <sheetName val="送排风"/>
      <sheetName val="给排水"/>
      <sheetName val="电"/>
      <sheetName val="Valve"/>
      <sheetName val="BA 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需求调查表"/>
      <sheetName val="原则性热力系统锅炉部分--无高加"/>
      <sheetName val="原则性热力系统汽轮机部分--无高加"/>
      <sheetName val="锅炉辅机系统"/>
    </sheetNames>
    <sheetDataSet>
      <sheetData sheetId="0" refreshError="1"/>
      <sheetData sheetId="1">
        <row r="23">
          <cell r="F23">
            <v>3.43</v>
          </cell>
          <cell r="J23">
            <v>3.8</v>
          </cell>
          <cell r="N23">
            <v>0.4</v>
          </cell>
        </row>
        <row r="24">
          <cell r="F24">
            <v>435</v>
          </cell>
        </row>
        <row r="26">
          <cell r="F26" t="e">
            <v>#NAME?</v>
          </cell>
          <cell r="I26" t="e">
            <v>#NAME?</v>
          </cell>
        </row>
        <row r="28">
          <cell r="F28">
            <v>0.35</v>
          </cell>
        </row>
        <row r="30">
          <cell r="F30" t="e">
            <v>#NAME?</v>
          </cell>
        </row>
        <row r="38">
          <cell r="F38">
            <v>8.9999999999999993E-3</v>
          </cell>
        </row>
        <row r="47">
          <cell r="X47">
            <v>272.5</v>
          </cell>
        </row>
        <row r="49">
          <cell r="B49">
            <v>150</v>
          </cell>
          <cell r="E49">
            <v>152.80000000000001</v>
          </cell>
          <cell r="I49" t="e">
            <v>#NAME?</v>
          </cell>
        </row>
        <row r="50">
          <cell r="E50">
            <v>152.80000000000001</v>
          </cell>
          <cell r="I50" t="e">
            <v>#NAME?</v>
          </cell>
        </row>
        <row r="51">
          <cell r="D51">
            <v>50</v>
          </cell>
          <cell r="F51">
            <v>1.18</v>
          </cell>
        </row>
        <row r="52">
          <cell r="B52">
            <v>150</v>
          </cell>
          <cell r="I52">
            <v>0.73749999999999993</v>
          </cell>
        </row>
        <row r="53">
          <cell r="E53" t="e">
            <v>#NAME?</v>
          </cell>
          <cell r="I53" t="e">
            <v>#NAME?</v>
          </cell>
        </row>
        <row r="54">
          <cell r="E54" t="e">
            <v>#NAME?</v>
          </cell>
          <cell r="I54" t="e">
            <v>#NAME?</v>
          </cell>
        </row>
        <row r="55">
          <cell r="B55" t="e">
            <v>#NAME?</v>
          </cell>
          <cell r="G55">
            <v>8.9999999999999993E-3</v>
          </cell>
        </row>
        <row r="62">
          <cell r="F62">
            <v>3.43</v>
          </cell>
        </row>
        <row r="63">
          <cell r="F63">
            <v>435</v>
          </cell>
        </row>
        <row r="67">
          <cell r="F67">
            <v>0.74</v>
          </cell>
        </row>
        <row r="68">
          <cell r="F68" t="e">
            <v>#NAME?</v>
          </cell>
        </row>
        <row r="73">
          <cell r="F73">
            <v>0.74</v>
          </cell>
        </row>
        <row r="74">
          <cell r="F74" t="e">
            <v>#NAME?</v>
          </cell>
        </row>
        <row r="79">
          <cell r="F79">
            <v>0.73749999999999993</v>
          </cell>
        </row>
        <row r="80">
          <cell r="F80" t="e">
            <v>#NAME?</v>
          </cell>
        </row>
        <row r="92">
          <cell r="F92" t="e">
            <v>#NAME?</v>
          </cell>
        </row>
        <row r="93">
          <cell r="F93" t="e">
            <v>#NAME?</v>
          </cell>
        </row>
        <row r="98">
          <cell r="F98" t="e">
            <v>#NAME?</v>
          </cell>
        </row>
        <row r="99">
          <cell r="F99" t="e">
            <v>#NAME?</v>
          </cell>
        </row>
        <row r="104">
          <cell r="F104">
            <v>8.9999999999999993E-3</v>
          </cell>
        </row>
        <row r="105">
          <cell r="F105" t="e">
            <v>#NAME?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循环水系统"/>
      <sheetName val="烟、风量计算"/>
      <sheetName val="烟风系统"/>
      <sheetName val="锅炉辅机系统"/>
      <sheetName val="烟阻力"/>
      <sheetName val="风阻力"/>
      <sheetName val="汽水管道"/>
      <sheetName val="汽机辅机系统"/>
      <sheetName val="气体平均定压体积比热容"/>
      <sheetName val="烟焓表"/>
      <sheetName val="常用数据查询"/>
      <sheetName val="总概算"/>
      <sheetName val="Sheet1"/>
    </sheetNames>
    <sheetDataSet>
      <sheetData sheetId="0" refreshError="1"/>
      <sheetData sheetId="1" refreshError="1">
        <row r="93">
          <cell r="AJ93">
            <v>1.5807891999999999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00-目录"/>
      <sheetName val="01-参考书"/>
      <sheetName val="02-煤质资料参数输入"/>
      <sheetName val="02-煤质资料"/>
      <sheetName val="03-煤灰渣参数输入"/>
      <sheetName val="03-煤灰渣量"/>
      <sheetName val="04-烟风量参数输入"/>
      <sheetName val="04-烟风量"/>
      <sheetName val="05-脱硫脱硝除尘"/>
      <sheetName val="06-烟囱(湿法脱硫)"/>
      <sheetName val="07-湿法脱硫FGD(空塔喷淋)工艺计算"/>
      <sheetName val="07-仓、库"/>
      <sheetName val="空气含湿量与露点"/>
      <sheetName val="13-烟气CO2"/>
      <sheetName val="07-风阻力"/>
      <sheetName val="08-烟阻力"/>
      <sheetName val="09-风机选择"/>
      <sheetName val="NH3 NOX摩尔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5">
          <cell r="F75">
            <v>0.79243629305842134</v>
          </cell>
        </row>
        <row r="112">
          <cell r="F112">
            <v>132.14230471771077</v>
          </cell>
        </row>
        <row r="117">
          <cell r="F117">
            <v>167700.8555556667</v>
          </cell>
        </row>
        <row r="118">
          <cell r="F118">
            <v>0.86538987639951559</v>
          </cell>
        </row>
        <row r="122">
          <cell r="F122">
            <v>130.01517450682854</v>
          </cell>
        </row>
        <row r="128">
          <cell r="F128">
            <v>171673.609861131</v>
          </cell>
        </row>
        <row r="130">
          <cell r="F130">
            <v>0.86034326373731695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2、燃烧计算"/>
      <sheetName val="3、煤气发电计算"/>
      <sheetName val="燃烧计算地方"/>
      <sheetName val="常用数据查询"/>
      <sheetName val="气体平均定压体积比热容"/>
      <sheetName val="烟焓表"/>
    </sheetNames>
    <sheetDataSet>
      <sheetData sheetId="0" refreshError="1">
        <row r="48">
          <cell r="AJ48">
            <v>1918.1518467054714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能源中心"/>
      <sheetName val="客房楼"/>
      <sheetName val="宴会楼"/>
      <sheetName val="主楼"/>
      <sheetName val="健身中心"/>
      <sheetName val="BA "/>
      <sheetName val="B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MS"/>
      <sheetName val="BA "/>
    </sheetNames>
    <sheetDataSet>
      <sheetData sheetId="0" refreshError="1"/>
      <sheetData sheetId="1" refreshError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IBMS"/>
      <sheetName val="PABX3X (2)"/>
      <sheetName val="CATV1"/>
      <sheetName val="PA"/>
      <sheetName val="OA"/>
      <sheetName val="网络"/>
      <sheetName val="物业管理"/>
      <sheetName val="信息"/>
      <sheetName val="BA  (2)"/>
      <sheetName val="会议"/>
      <sheetName val="防盗"/>
      <sheetName val="CCTV"/>
      <sheetName val="ACCESS"/>
      <sheetName val="巡更"/>
      <sheetName val="对讲系统"/>
      <sheetName val="PDS1"/>
      <sheetName val="防雷"/>
      <sheetName val="中心机房"/>
      <sheetName val="客房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A-Pl"/>
      <sheetName val="BA"/>
    </sheetNames>
    <sheetDataSet>
      <sheetData sheetId="0" refreshError="1">
        <row r="4">
          <cell r="K4" t="str">
            <v xml:space="preserve"> 控制器规格</v>
          </cell>
        </row>
        <row r="5">
          <cell r="I5" t="str">
            <v>元件型号</v>
          </cell>
          <cell r="J5" t="str">
            <v>数量</v>
          </cell>
          <cell r="K5" t="str">
            <v>控制器型号</v>
          </cell>
          <cell r="L5" t="str">
            <v>数量</v>
          </cell>
        </row>
        <row r="7">
          <cell r="I7" t="str">
            <v>T7413</v>
          </cell>
          <cell r="J7">
            <v>2</v>
          </cell>
        </row>
        <row r="8">
          <cell r="I8" t="str">
            <v>2517+8510</v>
          </cell>
          <cell r="J8">
            <v>1</v>
          </cell>
        </row>
        <row r="9">
          <cell r="I9" t="str">
            <v>242PC</v>
          </cell>
          <cell r="J9">
            <v>2</v>
          </cell>
        </row>
        <row r="10">
          <cell r="I10" t="str">
            <v>DN150</v>
          </cell>
          <cell r="J10">
            <v>1</v>
          </cell>
        </row>
        <row r="12">
          <cell r="I12" t="str">
            <v>FFS-2A</v>
          </cell>
          <cell r="J12">
            <v>2</v>
          </cell>
        </row>
        <row r="16">
          <cell r="I16" t="str">
            <v>FFS-2A</v>
          </cell>
          <cell r="J16">
            <v>10</v>
          </cell>
        </row>
        <row r="21">
          <cell r="I21" t="str">
            <v>H7015B1015</v>
          </cell>
          <cell r="J21">
            <v>1</v>
          </cell>
        </row>
        <row r="22">
          <cell r="I22" t="str">
            <v>T7411E</v>
          </cell>
          <cell r="J22">
            <v>1</v>
          </cell>
        </row>
        <row r="23">
          <cell r="I23" t="str">
            <v>RH-3</v>
          </cell>
          <cell r="J23">
            <v>2</v>
          </cell>
        </row>
        <row r="24">
          <cell r="I24" t="str">
            <v>L480G</v>
          </cell>
          <cell r="J24">
            <v>1</v>
          </cell>
        </row>
        <row r="25">
          <cell r="I25" t="str">
            <v>RH-3</v>
          </cell>
          <cell r="J25">
            <v>1</v>
          </cell>
        </row>
        <row r="30">
          <cell r="J30">
            <v>1</v>
          </cell>
        </row>
        <row r="31">
          <cell r="I31" t="str">
            <v>ML7284</v>
          </cell>
          <cell r="J31">
            <v>1</v>
          </cell>
        </row>
        <row r="32">
          <cell r="I32" t="str">
            <v>ML7284</v>
          </cell>
          <cell r="J32">
            <v>1</v>
          </cell>
        </row>
        <row r="34">
          <cell r="I34" t="str">
            <v>H7015B1015</v>
          </cell>
          <cell r="J34">
            <v>1</v>
          </cell>
        </row>
        <row r="35">
          <cell r="I35" t="str">
            <v>RH-3</v>
          </cell>
          <cell r="J35">
            <v>1</v>
          </cell>
        </row>
        <row r="36">
          <cell r="I36" t="str">
            <v>L480G</v>
          </cell>
          <cell r="J36">
            <v>1</v>
          </cell>
        </row>
        <row r="37">
          <cell r="I37" t="str">
            <v>RH-3</v>
          </cell>
          <cell r="J37">
            <v>1</v>
          </cell>
        </row>
        <row r="41">
          <cell r="J41">
            <v>1</v>
          </cell>
        </row>
        <row r="42">
          <cell r="I42" t="str">
            <v>ML6184</v>
          </cell>
          <cell r="J42">
            <v>1</v>
          </cell>
        </row>
        <row r="43">
          <cell r="K43" t="str">
            <v>XL500</v>
          </cell>
          <cell r="L43">
            <v>1</v>
          </cell>
        </row>
        <row r="44">
          <cell r="K44" t="str">
            <v>XF521</v>
          </cell>
          <cell r="L44">
            <v>2</v>
          </cell>
        </row>
        <row r="45">
          <cell r="K45" t="str">
            <v>XF522</v>
          </cell>
          <cell r="L45">
            <v>1</v>
          </cell>
        </row>
        <row r="46">
          <cell r="K46" t="str">
            <v>XF523</v>
          </cell>
          <cell r="L46">
            <v>5</v>
          </cell>
        </row>
        <row r="47">
          <cell r="K47" t="str">
            <v>XF524</v>
          </cell>
          <cell r="L47">
            <v>1</v>
          </cell>
        </row>
        <row r="50">
          <cell r="I50" t="str">
            <v>H7015B1015</v>
          </cell>
          <cell r="J50">
            <v>3</v>
          </cell>
        </row>
        <row r="51">
          <cell r="I51" t="str">
            <v>T7411E</v>
          </cell>
          <cell r="J51">
            <v>3</v>
          </cell>
        </row>
        <row r="52">
          <cell r="I52" t="str">
            <v>RH-3</v>
          </cell>
          <cell r="J52">
            <v>6</v>
          </cell>
        </row>
        <row r="53">
          <cell r="I53" t="str">
            <v>L480G</v>
          </cell>
          <cell r="J53">
            <v>3</v>
          </cell>
        </row>
        <row r="54">
          <cell r="I54" t="str">
            <v>RH-3</v>
          </cell>
          <cell r="J54">
            <v>3</v>
          </cell>
        </row>
        <row r="59">
          <cell r="J59">
            <v>3</v>
          </cell>
        </row>
        <row r="60">
          <cell r="I60" t="str">
            <v>ML7284</v>
          </cell>
          <cell r="J60">
            <v>3</v>
          </cell>
        </row>
        <row r="61">
          <cell r="I61" t="str">
            <v>ML7284</v>
          </cell>
          <cell r="J61">
            <v>3</v>
          </cell>
        </row>
        <row r="63">
          <cell r="K63" t="str">
            <v>XL50C</v>
          </cell>
          <cell r="L63">
            <v>3</v>
          </cell>
        </row>
        <row r="66">
          <cell r="I66" t="str">
            <v>H7015B1015</v>
          </cell>
          <cell r="J66">
            <v>2</v>
          </cell>
        </row>
        <row r="67">
          <cell r="I67" t="str">
            <v>T7411E</v>
          </cell>
          <cell r="J67">
            <v>2</v>
          </cell>
        </row>
        <row r="68">
          <cell r="I68" t="str">
            <v>RH-3</v>
          </cell>
          <cell r="J68">
            <v>4</v>
          </cell>
        </row>
        <row r="69">
          <cell r="I69" t="str">
            <v>L480G</v>
          </cell>
          <cell r="J69">
            <v>2</v>
          </cell>
        </row>
        <row r="70">
          <cell r="I70" t="str">
            <v>RH-3</v>
          </cell>
          <cell r="J70">
            <v>2</v>
          </cell>
        </row>
        <row r="75">
          <cell r="J75">
            <v>2</v>
          </cell>
        </row>
        <row r="76">
          <cell r="I76" t="str">
            <v>ML7284</v>
          </cell>
          <cell r="J76">
            <v>2</v>
          </cell>
        </row>
        <row r="77">
          <cell r="I77" t="str">
            <v>ML7284</v>
          </cell>
          <cell r="J77">
            <v>2</v>
          </cell>
        </row>
        <row r="79">
          <cell r="I79" t="str">
            <v>H7015B1015</v>
          </cell>
          <cell r="J79">
            <v>1</v>
          </cell>
        </row>
        <row r="80">
          <cell r="I80" t="str">
            <v>RH-3</v>
          </cell>
          <cell r="J80">
            <v>1</v>
          </cell>
        </row>
        <row r="81">
          <cell r="I81" t="str">
            <v>L480G</v>
          </cell>
          <cell r="J81">
            <v>1</v>
          </cell>
        </row>
        <row r="82">
          <cell r="I82" t="str">
            <v>RH-3</v>
          </cell>
          <cell r="J82">
            <v>1</v>
          </cell>
        </row>
        <row r="86">
          <cell r="J86">
            <v>1</v>
          </cell>
        </row>
        <row r="87">
          <cell r="I87" t="str">
            <v>ML6184</v>
          </cell>
          <cell r="J87">
            <v>1</v>
          </cell>
        </row>
        <row r="89">
          <cell r="K89" t="str">
            <v>XL50C</v>
          </cell>
          <cell r="L89">
            <v>2</v>
          </cell>
        </row>
        <row r="92">
          <cell r="I92" t="str">
            <v>H7015B1015</v>
          </cell>
          <cell r="J92">
            <v>2</v>
          </cell>
        </row>
        <row r="93">
          <cell r="I93" t="str">
            <v>T7411E</v>
          </cell>
          <cell r="J93">
            <v>2</v>
          </cell>
        </row>
        <row r="94">
          <cell r="I94" t="str">
            <v>RH-3</v>
          </cell>
          <cell r="J94">
            <v>4</v>
          </cell>
        </row>
        <row r="95">
          <cell r="I95" t="str">
            <v>L480G</v>
          </cell>
          <cell r="J95">
            <v>2</v>
          </cell>
        </row>
        <row r="96">
          <cell r="I96" t="str">
            <v>RH-3</v>
          </cell>
          <cell r="J96">
            <v>2</v>
          </cell>
        </row>
        <row r="101">
          <cell r="J101">
            <v>2</v>
          </cell>
        </row>
        <row r="102">
          <cell r="I102" t="str">
            <v>ML7284</v>
          </cell>
          <cell r="J102">
            <v>2</v>
          </cell>
        </row>
        <row r="103">
          <cell r="I103" t="str">
            <v>ML7284</v>
          </cell>
          <cell r="J103">
            <v>2</v>
          </cell>
        </row>
        <row r="105">
          <cell r="K105" t="str">
            <v>XL50C</v>
          </cell>
          <cell r="L105">
            <v>2</v>
          </cell>
        </row>
        <row r="108">
          <cell r="I108" t="str">
            <v>H7015B1015</v>
          </cell>
          <cell r="J108">
            <v>3</v>
          </cell>
        </row>
        <row r="109">
          <cell r="I109" t="str">
            <v>T7411E</v>
          </cell>
          <cell r="J109">
            <v>3</v>
          </cell>
        </row>
        <row r="110">
          <cell r="I110" t="str">
            <v>RH-3</v>
          </cell>
          <cell r="J110">
            <v>3</v>
          </cell>
        </row>
        <row r="111">
          <cell r="I111" t="str">
            <v>L480G</v>
          </cell>
          <cell r="J111">
            <v>3</v>
          </cell>
        </row>
        <row r="112">
          <cell r="I112" t="str">
            <v>RH-3</v>
          </cell>
          <cell r="J112">
            <v>3</v>
          </cell>
        </row>
        <row r="117">
          <cell r="J117">
            <v>3</v>
          </cell>
        </row>
        <row r="118">
          <cell r="I118" t="str">
            <v>ML7284</v>
          </cell>
          <cell r="J118">
            <v>3</v>
          </cell>
        </row>
        <row r="119">
          <cell r="I119" t="str">
            <v>ML7284</v>
          </cell>
          <cell r="J119">
            <v>3</v>
          </cell>
        </row>
        <row r="121">
          <cell r="K121" t="str">
            <v>XL50C</v>
          </cell>
          <cell r="L121">
            <v>2</v>
          </cell>
        </row>
        <row r="124">
          <cell r="I124" t="str">
            <v>H7015B1015</v>
          </cell>
          <cell r="J124">
            <v>1</v>
          </cell>
        </row>
        <row r="125">
          <cell r="I125" t="str">
            <v>T7411E</v>
          </cell>
          <cell r="J125">
            <v>1</v>
          </cell>
        </row>
        <row r="126">
          <cell r="I126" t="str">
            <v>RH-3</v>
          </cell>
          <cell r="J126">
            <v>2</v>
          </cell>
        </row>
        <row r="127">
          <cell r="I127" t="str">
            <v>L480G</v>
          </cell>
          <cell r="J127">
            <v>1</v>
          </cell>
        </row>
        <row r="128">
          <cell r="I128" t="str">
            <v>RH-3</v>
          </cell>
          <cell r="J128">
            <v>1</v>
          </cell>
        </row>
        <row r="133">
          <cell r="J133">
            <v>1</v>
          </cell>
        </row>
        <row r="134">
          <cell r="I134" t="str">
            <v>ML7284</v>
          </cell>
          <cell r="J134">
            <v>1</v>
          </cell>
        </row>
        <row r="135">
          <cell r="I135" t="str">
            <v>ML7284</v>
          </cell>
          <cell r="J135">
            <v>1</v>
          </cell>
        </row>
        <row r="137">
          <cell r="I137" t="str">
            <v>H7015B1015</v>
          </cell>
          <cell r="J137">
            <v>1</v>
          </cell>
        </row>
        <row r="138">
          <cell r="I138" t="str">
            <v>RH-3</v>
          </cell>
          <cell r="J138">
            <v>1</v>
          </cell>
        </row>
        <row r="139">
          <cell r="I139" t="str">
            <v>L480G</v>
          </cell>
          <cell r="J139">
            <v>1</v>
          </cell>
        </row>
        <row r="140">
          <cell r="I140" t="str">
            <v>RH-3</v>
          </cell>
          <cell r="J140">
            <v>1</v>
          </cell>
        </row>
        <row r="144">
          <cell r="J144">
            <v>1</v>
          </cell>
        </row>
        <row r="145">
          <cell r="I145" t="str">
            <v>ML6184</v>
          </cell>
          <cell r="J145">
            <v>1</v>
          </cell>
        </row>
        <row r="147">
          <cell r="I147" t="str">
            <v>H7508A1026</v>
          </cell>
          <cell r="J147">
            <v>2</v>
          </cell>
        </row>
        <row r="149">
          <cell r="K149" t="str">
            <v>XL50C</v>
          </cell>
          <cell r="L149">
            <v>2</v>
          </cell>
        </row>
        <row r="152">
          <cell r="I152" t="str">
            <v>H7015B1015</v>
          </cell>
          <cell r="J152">
            <v>3</v>
          </cell>
        </row>
        <row r="153">
          <cell r="I153" t="str">
            <v>T7411E</v>
          </cell>
          <cell r="J153">
            <v>3</v>
          </cell>
        </row>
        <row r="154">
          <cell r="I154" t="str">
            <v>RH-3</v>
          </cell>
          <cell r="J154">
            <v>6</v>
          </cell>
        </row>
        <row r="155">
          <cell r="I155" t="str">
            <v>L480G</v>
          </cell>
          <cell r="J155">
            <v>3</v>
          </cell>
        </row>
        <row r="156">
          <cell r="I156" t="str">
            <v>RH-3</v>
          </cell>
          <cell r="J156">
            <v>3</v>
          </cell>
        </row>
        <row r="161">
          <cell r="J161">
            <v>3</v>
          </cell>
        </row>
        <row r="162">
          <cell r="I162" t="str">
            <v>ML7284</v>
          </cell>
          <cell r="J162">
            <v>3</v>
          </cell>
        </row>
        <row r="163">
          <cell r="I163" t="str">
            <v>ML7284</v>
          </cell>
          <cell r="J163">
            <v>3</v>
          </cell>
        </row>
        <row r="165">
          <cell r="I165" t="str">
            <v>H7015B1015</v>
          </cell>
          <cell r="J165">
            <v>2</v>
          </cell>
        </row>
        <row r="166">
          <cell r="I166" t="str">
            <v>RH-3</v>
          </cell>
          <cell r="J166">
            <v>2</v>
          </cell>
        </row>
        <row r="167">
          <cell r="I167" t="str">
            <v>L480G</v>
          </cell>
          <cell r="J167">
            <v>2</v>
          </cell>
        </row>
        <row r="168">
          <cell r="I168" t="str">
            <v>RH-3</v>
          </cell>
          <cell r="J168">
            <v>2</v>
          </cell>
        </row>
        <row r="172">
          <cell r="J172">
            <v>2</v>
          </cell>
        </row>
        <row r="173">
          <cell r="I173" t="str">
            <v>ML6184</v>
          </cell>
          <cell r="J173">
            <v>2</v>
          </cell>
        </row>
        <row r="175">
          <cell r="K175" t="str">
            <v>XL50C</v>
          </cell>
          <cell r="L175">
            <v>4</v>
          </cell>
        </row>
        <row r="178">
          <cell r="I178" t="str">
            <v>H7015B1015</v>
          </cell>
          <cell r="J178">
            <v>1</v>
          </cell>
        </row>
        <row r="179">
          <cell r="I179" t="str">
            <v>T7411E</v>
          </cell>
          <cell r="J179">
            <v>1</v>
          </cell>
        </row>
        <row r="180">
          <cell r="I180" t="str">
            <v>RH-3</v>
          </cell>
          <cell r="J180">
            <v>2</v>
          </cell>
        </row>
        <row r="181">
          <cell r="I181" t="str">
            <v>L480G</v>
          </cell>
          <cell r="J181">
            <v>1</v>
          </cell>
        </row>
        <row r="182">
          <cell r="I182" t="str">
            <v>RH-3</v>
          </cell>
          <cell r="J182">
            <v>1</v>
          </cell>
        </row>
        <row r="187">
          <cell r="J187">
            <v>1</v>
          </cell>
        </row>
        <row r="188">
          <cell r="I188" t="str">
            <v>ML7284</v>
          </cell>
          <cell r="J188">
            <v>1</v>
          </cell>
        </row>
        <row r="189">
          <cell r="I189" t="str">
            <v>ML7284</v>
          </cell>
          <cell r="J189">
            <v>1</v>
          </cell>
        </row>
        <row r="191">
          <cell r="K191" t="str">
            <v>XL50C</v>
          </cell>
          <cell r="L191">
            <v>1</v>
          </cell>
        </row>
        <row r="194">
          <cell r="I194" t="str">
            <v>H7015B1015</v>
          </cell>
          <cell r="J194">
            <v>2</v>
          </cell>
        </row>
        <row r="195">
          <cell r="I195" t="str">
            <v>T7411E</v>
          </cell>
          <cell r="J195">
            <v>2</v>
          </cell>
        </row>
        <row r="196">
          <cell r="I196" t="str">
            <v>RH-3</v>
          </cell>
          <cell r="J196">
            <v>4</v>
          </cell>
        </row>
        <row r="197">
          <cell r="I197" t="str">
            <v>L480G</v>
          </cell>
          <cell r="J197">
            <v>2</v>
          </cell>
        </row>
        <row r="198">
          <cell r="I198" t="str">
            <v>RH-3</v>
          </cell>
          <cell r="J198">
            <v>2</v>
          </cell>
        </row>
        <row r="203">
          <cell r="J203">
            <v>2</v>
          </cell>
        </row>
        <row r="204">
          <cell r="I204" t="str">
            <v>ML7284</v>
          </cell>
          <cell r="J204">
            <v>2</v>
          </cell>
        </row>
        <row r="205">
          <cell r="I205" t="str">
            <v>ML7284</v>
          </cell>
          <cell r="J205">
            <v>2</v>
          </cell>
        </row>
        <row r="207">
          <cell r="K207" t="str">
            <v>XL50C</v>
          </cell>
          <cell r="L207">
            <v>2</v>
          </cell>
        </row>
        <row r="210">
          <cell r="I210" t="str">
            <v>H7015B1015</v>
          </cell>
          <cell r="J210">
            <v>2</v>
          </cell>
        </row>
        <row r="211">
          <cell r="I211" t="str">
            <v>T7411E</v>
          </cell>
          <cell r="J211">
            <v>2</v>
          </cell>
        </row>
        <row r="212">
          <cell r="I212" t="str">
            <v>RH-3</v>
          </cell>
          <cell r="J212">
            <v>4</v>
          </cell>
        </row>
        <row r="213">
          <cell r="I213" t="str">
            <v>L480G</v>
          </cell>
          <cell r="J213">
            <v>2</v>
          </cell>
        </row>
        <row r="214">
          <cell r="I214" t="str">
            <v>RH-3</v>
          </cell>
          <cell r="J214">
            <v>2</v>
          </cell>
        </row>
        <row r="219">
          <cell r="J219">
            <v>2</v>
          </cell>
        </row>
        <row r="220">
          <cell r="I220" t="str">
            <v>ML7284</v>
          </cell>
          <cell r="J220">
            <v>2</v>
          </cell>
        </row>
        <row r="221">
          <cell r="I221" t="str">
            <v>ML7284</v>
          </cell>
          <cell r="J221">
            <v>2</v>
          </cell>
        </row>
        <row r="223">
          <cell r="K223" t="str">
            <v>XL50C</v>
          </cell>
          <cell r="L223">
            <v>2</v>
          </cell>
        </row>
        <row r="226">
          <cell r="I226" t="str">
            <v>H7015B1015</v>
          </cell>
          <cell r="J226">
            <v>1</v>
          </cell>
        </row>
        <row r="227">
          <cell r="I227" t="str">
            <v>T7411E</v>
          </cell>
          <cell r="J227">
            <v>1</v>
          </cell>
        </row>
        <row r="228">
          <cell r="I228" t="str">
            <v>RH-3</v>
          </cell>
          <cell r="J228">
            <v>2</v>
          </cell>
        </row>
        <row r="229">
          <cell r="I229" t="str">
            <v>L480G</v>
          </cell>
          <cell r="J229">
            <v>1</v>
          </cell>
        </row>
        <row r="230">
          <cell r="I230" t="str">
            <v>RH-3</v>
          </cell>
          <cell r="J230">
            <v>1</v>
          </cell>
        </row>
        <row r="235">
          <cell r="J235">
            <v>1</v>
          </cell>
        </row>
        <row r="236">
          <cell r="I236" t="str">
            <v>ML7284</v>
          </cell>
          <cell r="J236">
            <v>1</v>
          </cell>
        </row>
        <row r="237">
          <cell r="I237" t="str">
            <v>ML7284</v>
          </cell>
          <cell r="J237">
            <v>1</v>
          </cell>
        </row>
        <row r="239">
          <cell r="K239" t="str">
            <v>XL50C</v>
          </cell>
          <cell r="L239">
            <v>1</v>
          </cell>
        </row>
        <row r="242">
          <cell r="I242" t="str">
            <v>H7015B1015</v>
          </cell>
          <cell r="J242">
            <v>1</v>
          </cell>
        </row>
        <row r="243">
          <cell r="I243" t="str">
            <v>T7411E</v>
          </cell>
          <cell r="J243">
            <v>1</v>
          </cell>
        </row>
        <row r="244">
          <cell r="I244" t="str">
            <v>RH-3</v>
          </cell>
          <cell r="J244">
            <v>2</v>
          </cell>
        </row>
        <row r="245">
          <cell r="I245" t="str">
            <v>L480G</v>
          </cell>
          <cell r="J245">
            <v>1</v>
          </cell>
        </row>
        <row r="246">
          <cell r="I246" t="str">
            <v>RH-3</v>
          </cell>
          <cell r="J246">
            <v>1</v>
          </cell>
        </row>
        <row r="251">
          <cell r="J251">
            <v>1</v>
          </cell>
        </row>
        <row r="252">
          <cell r="I252" t="str">
            <v>ML7284</v>
          </cell>
          <cell r="J252">
            <v>1</v>
          </cell>
        </row>
        <row r="253">
          <cell r="I253" t="str">
            <v>ML7284</v>
          </cell>
          <cell r="J253">
            <v>1</v>
          </cell>
        </row>
        <row r="255">
          <cell r="K255" t="str">
            <v>XL50C</v>
          </cell>
          <cell r="L255">
            <v>1</v>
          </cell>
        </row>
        <row r="258">
          <cell r="I258" t="str">
            <v>H7015B1015</v>
          </cell>
          <cell r="J258">
            <v>2</v>
          </cell>
        </row>
        <row r="259">
          <cell r="I259" t="str">
            <v>T7411E</v>
          </cell>
          <cell r="J259">
            <v>2</v>
          </cell>
        </row>
        <row r="260">
          <cell r="I260" t="str">
            <v>RH-3</v>
          </cell>
          <cell r="J260">
            <v>4</v>
          </cell>
        </row>
        <row r="261">
          <cell r="I261" t="str">
            <v>L480G</v>
          </cell>
          <cell r="J261">
            <v>2</v>
          </cell>
        </row>
        <row r="262">
          <cell r="I262" t="str">
            <v>RH-3</v>
          </cell>
          <cell r="J262">
            <v>2</v>
          </cell>
        </row>
        <row r="267">
          <cell r="J267">
            <v>2</v>
          </cell>
        </row>
        <row r="268">
          <cell r="I268" t="str">
            <v>ML7284</v>
          </cell>
          <cell r="J268">
            <v>2</v>
          </cell>
        </row>
        <row r="269">
          <cell r="I269" t="str">
            <v>ML7284</v>
          </cell>
          <cell r="J269">
            <v>2</v>
          </cell>
        </row>
        <row r="271">
          <cell r="K271" t="str">
            <v>XL50C</v>
          </cell>
          <cell r="L271">
            <v>2</v>
          </cell>
        </row>
        <row r="274">
          <cell r="I274" t="str">
            <v>H7015B1015</v>
          </cell>
          <cell r="J274">
            <v>1</v>
          </cell>
        </row>
        <row r="275">
          <cell r="I275" t="str">
            <v>T7411E</v>
          </cell>
          <cell r="J275">
            <v>1</v>
          </cell>
        </row>
        <row r="276">
          <cell r="I276" t="str">
            <v>RH-3</v>
          </cell>
          <cell r="J276">
            <v>2</v>
          </cell>
        </row>
        <row r="277">
          <cell r="I277" t="str">
            <v>L480G</v>
          </cell>
          <cell r="J277">
            <v>1</v>
          </cell>
        </row>
        <row r="278">
          <cell r="I278" t="str">
            <v>RH-3</v>
          </cell>
          <cell r="J278">
            <v>1</v>
          </cell>
        </row>
        <row r="283">
          <cell r="J283">
            <v>1</v>
          </cell>
        </row>
        <row r="284">
          <cell r="I284" t="str">
            <v>ML7284</v>
          </cell>
          <cell r="J284">
            <v>1</v>
          </cell>
        </row>
        <row r="285">
          <cell r="I285" t="str">
            <v>ML7284</v>
          </cell>
          <cell r="J285">
            <v>1</v>
          </cell>
        </row>
        <row r="287">
          <cell r="K287" t="str">
            <v>XL50C</v>
          </cell>
          <cell r="L287">
            <v>1</v>
          </cell>
        </row>
        <row r="290">
          <cell r="I290" t="str">
            <v>H7015B1015</v>
          </cell>
          <cell r="J290">
            <v>1</v>
          </cell>
        </row>
        <row r="291">
          <cell r="I291" t="str">
            <v>T7411E</v>
          </cell>
          <cell r="J291">
            <v>1</v>
          </cell>
        </row>
        <row r="292">
          <cell r="I292" t="str">
            <v>RH-3</v>
          </cell>
          <cell r="J292">
            <v>2</v>
          </cell>
        </row>
        <row r="293">
          <cell r="I293" t="str">
            <v>L480G</v>
          </cell>
          <cell r="J293">
            <v>1</v>
          </cell>
        </row>
        <row r="294">
          <cell r="I294" t="str">
            <v>RH-3</v>
          </cell>
          <cell r="J294">
            <v>1</v>
          </cell>
        </row>
        <row r="299">
          <cell r="J299">
            <v>1</v>
          </cell>
        </row>
        <row r="300">
          <cell r="I300" t="str">
            <v>ML7284</v>
          </cell>
          <cell r="J300">
            <v>1</v>
          </cell>
        </row>
        <row r="301">
          <cell r="I301" t="str">
            <v>ML7284</v>
          </cell>
          <cell r="J301">
            <v>1</v>
          </cell>
        </row>
        <row r="303">
          <cell r="K303" t="str">
            <v>XL50C</v>
          </cell>
          <cell r="L303">
            <v>1</v>
          </cell>
        </row>
        <row r="306">
          <cell r="I306" t="str">
            <v>H7015B1015</v>
          </cell>
          <cell r="J306">
            <v>2</v>
          </cell>
        </row>
        <row r="307">
          <cell r="I307" t="str">
            <v>T7411E</v>
          </cell>
          <cell r="J307">
            <v>2</v>
          </cell>
        </row>
        <row r="308">
          <cell r="I308" t="str">
            <v>RH-3</v>
          </cell>
          <cell r="J308">
            <v>4</v>
          </cell>
        </row>
        <row r="309">
          <cell r="I309" t="str">
            <v>L480G</v>
          </cell>
          <cell r="J309">
            <v>2</v>
          </cell>
        </row>
        <row r="310">
          <cell r="I310" t="str">
            <v>RH-3</v>
          </cell>
          <cell r="J310">
            <v>2</v>
          </cell>
        </row>
        <row r="315">
          <cell r="J315">
            <v>2</v>
          </cell>
        </row>
        <row r="316">
          <cell r="I316" t="str">
            <v>ML7284</v>
          </cell>
          <cell r="J316">
            <v>2</v>
          </cell>
        </row>
        <row r="317">
          <cell r="I317" t="str">
            <v>ML7284</v>
          </cell>
          <cell r="J317">
            <v>2</v>
          </cell>
        </row>
        <row r="319">
          <cell r="K319" t="str">
            <v>XL50C</v>
          </cell>
          <cell r="L319">
            <v>2</v>
          </cell>
        </row>
        <row r="322">
          <cell r="I322" t="str">
            <v>H7015B1015</v>
          </cell>
          <cell r="J322">
            <v>2</v>
          </cell>
        </row>
        <row r="323">
          <cell r="I323" t="str">
            <v>T7411E</v>
          </cell>
          <cell r="J323">
            <v>2</v>
          </cell>
        </row>
        <row r="324">
          <cell r="I324" t="str">
            <v>RH-3</v>
          </cell>
          <cell r="J324">
            <v>4</v>
          </cell>
        </row>
        <row r="325">
          <cell r="I325" t="str">
            <v>L480G</v>
          </cell>
          <cell r="J325">
            <v>2</v>
          </cell>
        </row>
        <row r="326">
          <cell r="I326" t="str">
            <v>RH-3</v>
          </cell>
          <cell r="J326">
            <v>2</v>
          </cell>
        </row>
        <row r="331">
          <cell r="J331">
            <v>2</v>
          </cell>
        </row>
        <row r="332">
          <cell r="I332" t="str">
            <v>ML7284</v>
          </cell>
          <cell r="J332">
            <v>2</v>
          </cell>
        </row>
        <row r="333">
          <cell r="I333" t="str">
            <v>ML7284</v>
          </cell>
          <cell r="J333">
            <v>2</v>
          </cell>
        </row>
        <row r="335">
          <cell r="K335" t="str">
            <v>XL50C</v>
          </cell>
          <cell r="L335">
            <v>2</v>
          </cell>
        </row>
        <row r="338">
          <cell r="I338" t="str">
            <v>H7015B1015</v>
          </cell>
          <cell r="J338">
            <v>2</v>
          </cell>
        </row>
        <row r="339">
          <cell r="I339" t="str">
            <v>T7411E</v>
          </cell>
          <cell r="J339">
            <v>2</v>
          </cell>
        </row>
        <row r="340">
          <cell r="I340" t="str">
            <v>RH-3</v>
          </cell>
          <cell r="J340">
            <v>4</v>
          </cell>
        </row>
        <row r="341">
          <cell r="I341" t="str">
            <v>L480G</v>
          </cell>
          <cell r="J341">
            <v>2</v>
          </cell>
        </row>
        <row r="342">
          <cell r="I342" t="str">
            <v>RH-3</v>
          </cell>
          <cell r="J342">
            <v>2</v>
          </cell>
        </row>
        <row r="347">
          <cell r="J347">
            <v>2</v>
          </cell>
        </row>
        <row r="348">
          <cell r="I348" t="str">
            <v>ML7284</v>
          </cell>
          <cell r="J348">
            <v>2</v>
          </cell>
        </row>
        <row r="349">
          <cell r="I349" t="str">
            <v>ML7284</v>
          </cell>
          <cell r="J349">
            <v>2</v>
          </cell>
        </row>
        <row r="351">
          <cell r="K351" t="str">
            <v>XL50C</v>
          </cell>
          <cell r="L351">
            <v>2</v>
          </cell>
        </row>
        <row r="354">
          <cell r="I354" t="str">
            <v>H7015B1015</v>
          </cell>
          <cell r="J354">
            <v>2</v>
          </cell>
        </row>
        <row r="355">
          <cell r="I355" t="str">
            <v>RH-3</v>
          </cell>
          <cell r="J355">
            <v>2</v>
          </cell>
        </row>
        <row r="356">
          <cell r="I356" t="str">
            <v>L480G</v>
          </cell>
          <cell r="J356">
            <v>2</v>
          </cell>
        </row>
        <row r="357">
          <cell r="I357" t="str">
            <v>RH-3</v>
          </cell>
          <cell r="J357">
            <v>2</v>
          </cell>
        </row>
        <row r="361">
          <cell r="J361">
            <v>2</v>
          </cell>
        </row>
        <row r="362">
          <cell r="I362" t="str">
            <v>ML6184</v>
          </cell>
          <cell r="J362">
            <v>2</v>
          </cell>
        </row>
        <row r="364">
          <cell r="K364" t="str">
            <v>XL50C</v>
          </cell>
          <cell r="L364">
            <v>1</v>
          </cell>
        </row>
        <row r="377">
          <cell r="K377" t="str">
            <v>XL50C</v>
          </cell>
          <cell r="L377">
            <v>4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点表"/>
      <sheetName val="priceD"/>
      <sheetName val="Sheet2"/>
      <sheetName val="Sheet3"/>
    </sheetNames>
    <sheetDataSet>
      <sheetData sheetId="0">
        <row r="4">
          <cell r="I4" t="str">
            <v>元件型号</v>
          </cell>
          <cell r="J4" t="str">
            <v>数量</v>
          </cell>
        </row>
        <row r="7">
          <cell r="I7" t="str">
            <v>H7508A1026</v>
          </cell>
          <cell r="J7">
            <v>1</v>
          </cell>
        </row>
        <row r="10">
          <cell r="I10" t="str">
            <v>H7015B1015</v>
          </cell>
          <cell r="J10">
            <v>38</v>
          </cell>
        </row>
        <row r="12">
          <cell r="I12" t="str">
            <v>H7015B1015</v>
          </cell>
          <cell r="J12">
            <v>38</v>
          </cell>
        </row>
        <row r="14">
          <cell r="I14" t="str">
            <v>DPS</v>
          </cell>
          <cell r="J14">
            <v>38</v>
          </cell>
        </row>
        <row r="15">
          <cell r="I15" t="str">
            <v>T6951A1025</v>
          </cell>
          <cell r="J15">
            <v>38</v>
          </cell>
        </row>
        <row r="23">
          <cell r="I23" t="str">
            <v>ML7174</v>
          </cell>
          <cell r="J23">
            <v>38</v>
          </cell>
        </row>
        <row r="24">
          <cell r="I24" t="str">
            <v>ML7174</v>
          </cell>
          <cell r="J24">
            <v>38</v>
          </cell>
        </row>
        <row r="26">
          <cell r="I26" t="str">
            <v>XL50</v>
          </cell>
          <cell r="J26">
            <v>38</v>
          </cell>
        </row>
        <row r="31">
          <cell r="I31" t="str">
            <v>XL500</v>
          </cell>
          <cell r="J31">
            <v>1</v>
          </cell>
        </row>
        <row r="32">
          <cell r="I32" t="str">
            <v>XSL511</v>
          </cell>
          <cell r="J32">
            <v>2</v>
          </cell>
        </row>
        <row r="33">
          <cell r="I33" t="str">
            <v>XFL523B</v>
          </cell>
          <cell r="J33">
            <v>2</v>
          </cell>
        </row>
        <row r="34">
          <cell r="I34" t="str">
            <v>XFL524B</v>
          </cell>
          <cell r="J34">
            <v>2</v>
          </cell>
        </row>
        <row r="41">
          <cell r="I41" t="str">
            <v>VF20T</v>
          </cell>
          <cell r="J41">
            <v>1</v>
          </cell>
        </row>
        <row r="42">
          <cell r="I42" t="str">
            <v>VF20T</v>
          </cell>
          <cell r="J42">
            <v>1</v>
          </cell>
        </row>
        <row r="43">
          <cell r="I43" t="str">
            <v>VF20T</v>
          </cell>
          <cell r="J43">
            <v>1</v>
          </cell>
        </row>
        <row r="44">
          <cell r="I44" t="str">
            <v>VF20T</v>
          </cell>
          <cell r="J44">
            <v>1</v>
          </cell>
        </row>
        <row r="45">
          <cell r="I45" t="str">
            <v>2517+8550</v>
          </cell>
          <cell r="J45">
            <v>1</v>
          </cell>
        </row>
        <row r="46">
          <cell r="I46" t="str">
            <v>242PC</v>
          </cell>
          <cell r="J46">
            <v>1</v>
          </cell>
        </row>
        <row r="47">
          <cell r="I47" t="str">
            <v>242PC</v>
          </cell>
          <cell r="J47">
            <v>1</v>
          </cell>
        </row>
        <row r="70">
          <cell r="I70" t="str">
            <v>VF20T</v>
          </cell>
          <cell r="J70">
            <v>3</v>
          </cell>
        </row>
        <row r="71">
          <cell r="I71" t="str">
            <v>VF20T</v>
          </cell>
          <cell r="J71">
            <v>3</v>
          </cell>
        </row>
        <row r="72">
          <cell r="I72" t="str">
            <v>VF20T</v>
          </cell>
          <cell r="J72">
            <v>3</v>
          </cell>
        </row>
        <row r="73">
          <cell r="I73" t="str">
            <v>VF20T</v>
          </cell>
          <cell r="J73">
            <v>3</v>
          </cell>
        </row>
        <row r="80">
          <cell r="I80" t="str">
            <v>VF20T</v>
          </cell>
          <cell r="J80">
            <v>1</v>
          </cell>
        </row>
        <row r="81">
          <cell r="I81" t="str">
            <v>VF20T</v>
          </cell>
          <cell r="J81">
            <v>1</v>
          </cell>
        </row>
        <row r="82">
          <cell r="I82" t="str">
            <v>VF20T</v>
          </cell>
          <cell r="J82">
            <v>1</v>
          </cell>
        </row>
        <row r="83">
          <cell r="I83" t="str">
            <v>VF20T</v>
          </cell>
          <cell r="J83">
            <v>1</v>
          </cell>
        </row>
        <row r="84">
          <cell r="I84" t="str">
            <v>2517+8550</v>
          </cell>
          <cell r="J84">
            <v>1</v>
          </cell>
        </row>
        <row r="85">
          <cell r="I85" t="str">
            <v>242PC</v>
          </cell>
          <cell r="J85">
            <v>1</v>
          </cell>
        </row>
        <row r="86">
          <cell r="I86" t="str">
            <v>242PC</v>
          </cell>
          <cell r="J86">
            <v>1</v>
          </cell>
        </row>
        <row r="109">
          <cell r="I109" t="str">
            <v>VF20T</v>
          </cell>
          <cell r="J109">
            <v>3</v>
          </cell>
        </row>
        <row r="110">
          <cell r="I110" t="str">
            <v>VF20T</v>
          </cell>
          <cell r="J110">
            <v>3</v>
          </cell>
        </row>
        <row r="111">
          <cell r="I111" t="str">
            <v>VF20T</v>
          </cell>
          <cell r="J111">
            <v>3</v>
          </cell>
        </row>
        <row r="112">
          <cell r="I112" t="str">
            <v>VF20T</v>
          </cell>
          <cell r="J112">
            <v>3</v>
          </cell>
        </row>
        <row r="114">
          <cell r="I114" t="str">
            <v>XL500</v>
          </cell>
          <cell r="J114">
            <v>1</v>
          </cell>
        </row>
        <row r="115">
          <cell r="I115" t="str">
            <v>XF521</v>
          </cell>
          <cell r="J115">
            <v>5</v>
          </cell>
        </row>
        <row r="116">
          <cell r="I116" t="str">
            <v>XF522</v>
          </cell>
          <cell r="J116">
            <v>2</v>
          </cell>
        </row>
        <row r="117">
          <cell r="I117" t="str">
            <v>XF523</v>
          </cell>
          <cell r="J117">
            <v>5</v>
          </cell>
        </row>
        <row r="118">
          <cell r="I118" t="str">
            <v>XF524</v>
          </cell>
          <cell r="J118">
            <v>5</v>
          </cell>
        </row>
        <row r="124">
          <cell r="I124" t="str">
            <v>VF20T</v>
          </cell>
          <cell r="J124">
            <v>1</v>
          </cell>
        </row>
        <row r="125">
          <cell r="I125" t="str">
            <v>VF20T</v>
          </cell>
          <cell r="J125">
            <v>1</v>
          </cell>
        </row>
        <row r="126">
          <cell r="I126" t="str">
            <v>VF20T</v>
          </cell>
          <cell r="J126">
            <v>1</v>
          </cell>
        </row>
        <row r="127">
          <cell r="I127" t="str">
            <v>VF20T</v>
          </cell>
          <cell r="J127">
            <v>1</v>
          </cell>
        </row>
        <row r="128">
          <cell r="I128" t="str">
            <v>2517+8550</v>
          </cell>
          <cell r="J128">
            <v>1</v>
          </cell>
        </row>
        <row r="129">
          <cell r="I129" t="str">
            <v>242PC</v>
          </cell>
          <cell r="J129">
            <v>1</v>
          </cell>
        </row>
        <row r="130">
          <cell r="I130" t="str">
            <v>242PC</v>
          </cell>
          <cell r="J130">
            <v>1</v>
          </cell>
        </row>
        <row r="153">
          <cell r="I153" t="str">
            <v>VF20T</v>
          </cell>
          <cell r="J153">
            <v>3</v>
          </cell>
        </row>
        <row r="154">
          <cell r="I154" t="str">
            <v>VF20T</v>
          </cell>
          <cell r="J154">
            <v>3</v>
          </cell>
        </row>
        <row r="155">
          <cell r="I155" t="str">
            <v>VF20T</v>
          </cell>
          <cell r="J155">
            <v>3</v>
          </cell>
        </row>
        <row r="156">
          <cell r="I156" t="str">
            <v>VF20T</v>
          </cell>
          <cell r="J156">
            <v>3</v>
          </cell>
        </row>
        <row r="159">
          <cell r="I159" t="str">
            <v>VF20T</v>
          </cell>
          <cell r="J159">
            <v>3</v>
          </cell>
        </row>
        <row r="160">
          <cell r="I160" t="str">
            <v>VF20T</v>
          </cell>
          <cell r="J160">
            <v>3</v>
          </cell>
        </row>
        <row r="161">
          <cell r="I161" t="str">
            <v>VF20T</v>
          </cell>
          <cell r="J161">
            <v>3</v>
          </cell>
        </row>
        <row r="162">
          <cell r="I162" t="str">
            <v>VF20T</v>
          </cell>
          <cell r="J162">
            <v>3</v>
          </cell>
        </row>
        <row r="172">
          <cell r="I172" t="str">
            <v>XL500</v>
          </cell>
          <cell r="J172">
            <v>1</v>
          </cell>
        </row>
        <row r="173">
          <cell r="I173" t="str">
            <v>XF521</v>
          </cell>
          <cell r="J173">
            <v>4</v>
          </cell>
        </row>
        <row r="174">
          <cell r="I174" t="str">
            <v>XF522</v>
          </cell>
          <cell r="J174">
            <v>2</v>
          </cell>
        </row>
        <row r="175">
          <cell r="I175" t="str">
            <v>XF523</v>
          </cell>
          <cell r="J175">
            <v>5</v>
          </cell>
        </row>
        <row r="176">
          <cell r="I176" t="str">
            <v>XF524</v>
          </cell>
          <cell r="J176">
            <v>4</v>
          </cell>
        </row>
        <row r="178">
          <cell r="I178" t="str">
            <v>H7508A1026</v>
          </cell>
          <cell r="J178">
            <v>1</v>
          </cell>
        </row>
        <row r="181">
          <cell r="I181" t="str">
            <v>H7015B1015</v>
          </cell>
          <cell r="J181">
            <v>10</v>
          </cell>
        </row>
        <row r="183">
          <cell r="I183" t="str">
            <v>H7015B1015</v>
          </cell>
          <cell r="J183">
            <v>10</v>
          </cell>
        </row>
        <row r="185">
          <cell r="I185" t="str">
            <v>DPS</v>
          </cell>
          <cell r="J185">
            <v>10</v>
          </cell>
        </row>
        <row r="186">
          <cell r="I186" t="str">
            <v>T6951A1025</v>
          </cell>
          <cell r="J186">
            <v>10</v>
          </cell>
        </row>
        <row r="194">
          <cell r="I194" t="str">
            <v>ML7174</v>
          </cell>
          <cell r="J194">
            <v>10</v>
          </cell>
        </row>
        <row r="195">
          <cell r="I195" t="str">
            <v>ML7174</v>
          </cell>
          <cell r="J195">
            <v>10</v>
          </cell>
        </row>
        <row r="197">
          <cell r="I197" t="str">
            <v>XL50</v>
          </cell>
          <cell r="J197">
            <v>10</v>
          </cell>
        </row>
        <row r="203">
          <cell r="I203" t="str">
            <v>XSL511</v>
          </cell>
          <cell r="J203">
            <v>4</v>
          </cell>
        </row>
        <row r="204">
          <cell r="I204" t="str">
            <v>XFL523B</v>
          </cell>
          <cell r="J204">
            <v>4</v>
          </cell>
        </row>
        <row r="205">
          <cell r="I205" t="str">
            <v>XFL524B</v>
          </cell>
          <cell r="J205">
            <v>4</v>
          </cell>
        </row>
        <row r="207">
          <cell r="I207" t="str">
            <v>H7508A1026</v>
          </cell>
          <cell r="J207">
            <v>1</v>
          </cell>
        </row>
        <row r="210">
          <cell r="I210" t="str">
            <v>H7015B1015</v>
          </cell>
          <cell r="J210">
            <v>18</v>
          </cell>
        </row>
        <row r="212">
          <cell r="I212" t="str">
            <v>H7015B1015</v>
          </cell>
          <cell r="J212">
            <v>18</v>
          </cell>
        </row>
        <row r="214">
          <cell r="I214" t="str">
            <v>DPS</v>
          </cell>
          <cell r="J214">
            <v>18</v>
          </cell>
        </row>
        <row r="215">
          <cell r="I215" t="str">
            <v>T6951A1025</v>
          </cell>
          <cell r="J215">
            <v>18</v>
          </cell>
        </row>
        <row r="223">
          <cell r="I223" t="str">
            <v>ML7174</v>
          </cell>
          <cell r="J223">
            <v>18</v>
          </cell>
        </row>
        <row r="224">
          <cell r="I224" t="str">
            <v>ML7174</v>
          </cell>
          <cell r="J224">
            <v>18</v>
          </cell>
        </row>
        <row r="226">
          <cell r="I226" t="str">
            <v>XL50</v>
          </cell>
          <cell r="J226">
            <v>18</v>
          </cell>
        </row>
        <row r="232">
          <cell r="I232" t="str">
            <v>XSL511</v>
          </cell>
          <cell r="J232">
            <v>2</v>
          </cell>
        </row>
        <row r="233">
          <cell r="I233" t="str">
            <v>XFL523B</v>
          </cell>
          <cell r="J233">
            <v>2</v>
          </cell>
        </row>
        <row r="234">
          <cell r="I234" t="str">
            <v>XFL524B</v>
          </cell>
          <cell r="J234">
            <v>2</v>
          </cell>
        </row>
        <row r="237">
          <cell r="I237" t="str">
            <v>H7015B1015</v>
          </cell>
          <cell r="J237">
            <v>6</v>
          </cell>
        </row>
        <row r="239">
          <cell r="I239" t="str">
            <v>DPS</v>
          </cell>
          <cell r="J239">
            <v>6</v>
          </cell>
        </row>
        <row r="240">
          <cell r="I240" t="str">
            <v>T6951A1025</v>
          </cell>
          <cell r="J240">
            <v>6</v>
          </cell>
        </row>
        <row r="246">
          <cell r="I246" t="str">
            <v>ML6174</v>
          </cell>
          <cell r="J246">
            <v>6</v>
          </cell>
        </row>
        <row r="248">
          <cell r="I248" t="str">
            <v>XL50</v>
          </cell>
          <cell r="J248">
            <v>3</v>
          </cell>
        </row>
        <row r="250">
          <cell r="I250" t="str">
            <v>H7508A1026</v>
          </cell>
          <cell r="J250">
            <v>1</v>
          </cell>
        </row>
        <row r="253">
          <cell r="I253" t="str">
            <v>H7015B1015</v>
          </cell>
          <cell r="J253">
            <v>21</v>
          </cell>
        </row>
        <row r="255">
          <cell r="I255" t="str">
            <v>H7015B1015</v>
          </cell>
          <cell r="J255">
            <v>21</v>
          </cell>
        </row>
        <row r="257">
          <cell r="I257" t="str">
            <v>DPS</v>
          </cell>
          <cell r="J257">
            <v>21</v>
          </cell>
        </row>
        <row r="258">
          <cell r="I258" t="str">
            <v>T6951A1025</v>
          </cell>
          <cell r="J258">
            <v>21</v>
          </cell>
        </row>
        <row r="266">
          <cell r="I266" t="str">
            <v>ML7174</v>
          </cell>
          <cell r="J266">
            <v>21</v>
          </cell>
        </row>
        <row r="267">
          <cell r="I267" t="str">
            <v>ML7174</v>
          </cell>
          <cell r="J267">
            <v>21</v>
          </cell>
        </row>
        <row r="269">
          <cell r="I269" t="str">
            <v>XL50</v>
          </cell>
          <cell r="J269">
            <v>21</v>
          </cell>
        </row>
        <row r="275">
          <cell r="I275" t="str">
            <v>XSL511</v>
          </cell>
          <cell r="J275">
            <v>2</v>
          </cell>
        </row>
        <row r="276">
          <cell r="I276" t="str">
            <v>XFL523B</v>
          </cell>
          <cell r="J276">
            <v>2</v>
          </cell>
        </row>
        <row r="277">
          <cell r="I277" t="str">
            <v>XFL524B</v>
          </cell>
          <cell r="J277">
            <v>2</v>
          </cell>
        </row>
        <row r="282">
          <cell r="I282" t="str">
            <v>VF20T</v>
          </cell>
          <cell r="J282">
            <v>2</v>
          </cell>
        </row>
        <row r="283">
          <cell r="I283" t="str">
            <v>VF20T</v>
          </cell>
          <cell r="J283">
            <v>2</v>
          </cell>
        </row>
        <row r="284">
          <cell r="I284" t="str">
            <v>VF20T</v>
          </cell>
          <cell r="J284">
            <v>2</v>
          </cell>
        </row>
        <row r="285">
          <cell r="I285" t="str">
            <v>VF20T</v>
          </cell>
          <cell r="J285">
            <v>2</v>
          </cell>
        </row>
        <row r="286">
          <cell r="I286" t="str">
            <v>2517+8550</v>
          </cell>
          <cell r="J286">
            <v>2</v>
          </cell>
        </row>
        <row r="287">
          <cell r="I287" t="str">
            <v>242PC</v>
          </cell>
          <cell r="J287">
            <v>2</v>
          </cell>
        </row>
        <row r="288">
          <cell r="I288" t="str">
            <v>242PC</v>
          </cell>
          <cell r="J288">
            <v>2</v>
          </cell>
        </row>
        <row r="289">
          <cell r="J289">
            <v>2</v>
          </cell>
        </row>
        <row r="311">
          <cell r="I311" t="str">
            <v>VF20T</v>
          </cell>
          <cell r="J311">
            <v>2</v>
          </cell>
        </row>
        <row r="312">
          <cell r="I312" t="str">
            <v>VF20T</v>
          </cell>
          <cell r="J312">
            <v>2</v>
          </cell>
        </row>
        <row r="313">
          <cell r="I313" t="str">
            <v>VF20T</v>
          </cell>
          <cell r="J313">
            <v>2</v>
          </cell>
        </row>
        <row r="314">
          <cell r="I314" t="str">
            <v>VF20T</v>
          </cell>
          <cell r="J314">
            <v>2</v>
          </cell>
        </row>
        <row r="316">
          <cell r="I316" t="str">
            <v>XL500</v>
          </cell>
          <cell r="J316">
            <v>1</v>
          </cell>
        </row>
        <row r="317">
          <cell r="I317" t="str">
            <v>XF521</v>
          </cell>
          <cell r="J317">
            <v>3</v>
          </cell>
        </row>
        <row r="318">
          <cell r="I318" t="str">
            <v>XF522</v>
          </cell>
          <cell r="J318">
            <v>1</v>
          </cell>
        </row>
        <row r="319">
          <cell r="I319" t="str">
            <v>XF523</v>
          </cell>
          <cell r="J319">
            <v>5</v>
          </cell>
        </row>
        <row r="320">
          <cell r="I320" t="str">
            <v>XF524</v>
          </cell>
          <cell r="J320">
            <v>4</v>
          </cell>
        </row>
        <row r="323">
          <cell r="I323" t="str">
            <v>H7015B1015</v>
          </cell>
          <cell r="J323">
            <v>7</v>
          </cell>
        </row>
        <row r="325">
          <cell r="I325" t="str">
            <v>DPS</v>
          </cell>
          <cell r="J325">
            <v>7</v>
          </cell>
        </row>
        <row r="326">
          <cell r="I326" t="str">
            <v>T6951A1025</v>
          </cell>
          <cell r="J326">
            <v>7</v>
          </cell>
        </row>
        <row r="332">
          <cell r="I332" t="str">
            <v>ML6174</v>
          </cell>
          <cell r="J332">
            <v>7</v>
          </cell>
        </row>
        <row r="334">
          <cell r="I334" t="str">
            <v>XL50</v>
          </cell>
          <cell r="J334">
            <v>4</v>
          </cell>
        </row>
        <row r="336">
          <cell r="I336" t="str">
            <v>H7508A1026</v>
          </cell>
          <cell r="J336">
            <v>1</v>
          </cell>
        </row>
        <row r="339">
          <cell r="I339" t="str">
            <v>H7015B1015</v>
          </cell>
          <cell r="J339">
            <v>23</v>
          </cell>
        </row>
        <row r="341">
          <cell r="I341" t="str">
            <v>H7015B1015</v>
          </cell>
          <cell r="J341">
            <v>23</v>
          </cell>
        </row>
        <row r="343">
          <cell r="I343" t="str">
            <v>DPS</v>
          </cell>
          <cell r="J343">
            <v>23</v>
          </cell>
        </row>
        <row r="344">
          <cell r="I344" t="str">
            <v>T6951A1025</v>
          </cell>
          <cell r="J344">
            <v>23</v>
          </cell>
        </row>
        <row r="352">
          <cell r="I352" t="str">
            <v>ML7174</v>
          </cell>
          <cell r="J352">
            <v>23</v>
          </cell>
        </row>
        <row r="353">
          <cell r="I353" t="str">
            <v>ML7174</v>
          </cell>
          <cell r="J353">
            <v>23</v>
          </cell>
        </row>
        <row r="355">
          <cell r="I355" t="str">
            <v>XL50</v>
          </cell>
          <cell r="J355">
            <v>23</v>
          </cell>
        </row>
        <row r="361">
          <cell r="I361" t="str">
            <v>XSL511</v>
          </cell>
          <cell r="J361">
            <v>3</v>
          </cell>
        </row>
        <row r="362">
          <cell r="I362" t="str">
            <v>XFL523B</v>
          </cell>
          <cell r="J362">
            <v>3</v>
          </cell>
        </row>
        <row r="363">
          <cell r="I363" t="str">
            <v>XFL524B</v>
          </cell>
          <cell r="J363">
            <v>3</v>
          </cell>
        </row>
        <row r="368">
          <cell r="I368" t="str">
            <v>VF20T</v>
          </cell>
          <cell r="J368">
            <v>1</v>
          </cell>
        </row>
        <row r="369">
          <cell r="I369" t="str">
            <v>VF20T</v>
          </cell>
          <cell r="J369">
            <v>1</v>
          </cell>
        </row>
        <row r="370">
          <cell r="I370" t="str">
            <v>VF20T</v>
          </cell>
          <cell r="J370">
            <v>1</v>
          </cell>
        </row>
        <row r="371">
          <cell r="I371" t="str">
            <v>VF20T</v>
          </cell>
          <cell r="J371">
            <v>1</v>
          </cell>
        </row>
        <row r="372">
          <cell r="I372" t="str">
            <v>2517+8550</v>
          </cell>
          <cell r="J372">
            <v>1</v>
          </cell>
        </row>
        <row r="373">
          <cell r="I373" t="str">
            <v>242PC</v>
          </cell>
          <cell r="J373">
            <v>1</v>
          </cell>
        </row>
        <row r="374">
          <cell r="I374" t="str">
            <v>242PC</v>
          </cell>
          <cell r="J374">
            <v>1</v>
          </cell>
        </row>
        <row r="375">
          <cell r="J375">
            <v>1</v>
          </cell>
        </row>
        <row r="397">
          <cell r="I397" t="str">
            <v>VF20T</v>
          </cell>
          <cell r="J397">
            <v>1</v>
          </cell>
        </row>
        <row r="398">
          <cell r="I398" t="str">
            <v>VF20T</v>
          </cell>
          <cell r="J398">
            <v>1</v>
          </cell>
        </row>
        <row r="399">
          <cell r="I399" t="str">
            <v>VF20T</v>
          </cell>
          <cell r="J399">
            <v>1</v>
          </cell>
        </row>
        <row r="400">
          <cell r="I400" t="str">
            <v>VF20T</v>
          </cell>
          <cell r="J400">
            <v>1</v>
          </cell>
        </row>
        <row r="402">
          <cell r="I402" t="str">
            <v>XL500</v>
          </cell>
          <cell r="J402">
            <v>1</v>
          </cell>
        </row>
        <row r="403">
          <cell r="I403" t="str">
            <v>XF521</v>
          </cell>
          <cell r="J403">
            <v>2</v>
          </cell>
        </row>
        <row r="404">
          <cell r="I404" t="str">
            <v>XF522</v>
          </cell>
          <cell r="J404">
            <v>1</v>
          </cell>
        </row>
        <row r="405">
          <cell r="I405" t="str">
            <v>XF523</v>
          </cell>
          <cell r="J405">
            <v>3</v>
          </cell>
        </row>
        <row r="406">
          <cell r="I406" t="str">
            <v>XF524</v>
          </cell>
          <cell r="J406">
            <v>3</v>
          </cell>
        </row>
        <row r="407">
          <cell r="I407" t="str">
            <v>总点数</v>
          </cell>
          <cell r="J407">
            <v>2318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BA"/>
      <sheetName val="防雷接地"/>
      <sheetName val="中心机房"/>
      <sheetName val="SAS"/>
      <sheetName val="公共广播"/>
      <sheetName val="停车场"/>
      <sheetName val="PDS"/>
      <sheetName val="会议"/>
      <sheetName val="有线电视"/>
      <sheetName val="移动通信"/>
      <sheetName val="计算机网络"/>
      <sheetName val="大屏显示"/>
      <sheetName val="多媒体查询"/>
      <sheetName val="BMS"/>
      <sheetName val="物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点表"/>
      <sheetName val="price1"/>
    </sheetNames>
    <sheetDataSet>
      <sheetData sheetId="0">
        <row r="4">
          <cell r="I4" t="str">
            <v>元件型号</v>
          </cell>
          <cell r="J4" t="str">
            <v>数量</v>
          </cell>
        </row>
        <row r="16">
          <cell r="I16" t="str">
            <v>H7015B1004</v>
          </cell>
          <cell r="J16">
            <v>1</v>
          </cell>
        </row>
        <row r="17">
          <cell r="I17" t="str">
            <v>DPS</v>
          </cell>
          <cell r="J17">
            <v>1</v>
          </cell>
        </row>
        <row r="18">
          <cell r="I18" t="str">
            <v>L480G</v>
          </cell>
          <cell r="J18">
            <v>1</v>
          </cell>
        </row>
        <row r="19">
          <cell r="I19" t="str">
            <v>DPS</v>
          </cell>
          <cell r="J19">
            <v>1</v>
          </cell>
        </row>
        <row r="23">
          <cell r="J23">
            <v>1</v>
          </cell>
        </row>
        <row r="24">
          <cell r="I24" t="str">
            <v>ML7174</v>
          </cell>
          <cell r="J24">
            <v>1</v>
          </cell>
        </row>
        <row r="33">
          <cell r="I33" t="str">
            <v>FFS-10A</v>
          </cell>
          <cell r="J33">
            <v>6</v>
          </cell>
        </row>
        <row r="38">
          <cell r="I38" t="str">
            <v>FFS-10A</v>
          </cell>
          <cell r="J38">
            <v>18</v>
          </cell>
        </row>
        <row r="44">
          <cell r="I44" t="str">
            <v>FFS-10A</v>
          </cell>
          <cell r="J44">
            <v>2</v>
          </cell>
        </row>
        <row r="58">
          <cell r="I58" t="str">
            <v>T7413</v>
          </cell>
          <cell r="J58">
            <v>1</v>
          </cell>
        </row>
        <row r="59">
          <cell r="I59" t="str">
            <v>T7413</v>
          </cell>
          <cell r="J59">
            <v>1</v>
          </cell>
        </row>
        <row r="60">
          <cell r="I60" t="str">
            <v>242PC</v>
          </cell>
          <cell r="J60">
            <v>2</v>
          </cell>
        </row>
        <row r="61">
          <cell r="I61" t="str">
            <v>2517+8550</v>
          </cell>
          <cell r="J61">
            <v>1</v>
          </cell>
        </row>
        <row r="62">
          <cell r="I62" t="str">
            <v>DN100</v>
          </cell>
          <cell r="J62">
            <v>1</v>
          </cell>
        </row>
        <row r="63">
          <cell r="I63" t="str">
            <v>DN100</v>
          </cell>
          <cell r="J63">
            <v>2</v>
          </cell>
        </row>
        <row r="65">
          <cell r="I65" t="str">
            <v>T7413</v>
          </cell>
          <cell r="J65">
            <v>1</v>
          </cell>
        </row>
        <row r="66">
          <cell r="I66" t="str">
            <v>T7413</v>
          </cell>
          <cell r="J66">
            <v>1</v>
          </cell>
        </row>
        <row r="68">
          <cell r="I68" t="str">
            <v>FS4-3J</v>
          </cell>
          <cell r="J68">
            <v>2</v>
          </cell>
        </row>
        <row r="73">
          <cell r="I73" t="str">
            <v>FS4-3J</v>
          </cell>
          <cell r="J73">
            <v>2</v>
          </cell>
        </row>
        <row r="82">
          <cell r="I82" t="str">
            <v>DN100</v>
          </cell>
          <cell r="J82">
            <v>2</v>
          </cell>
        </row>
        <row r="83">
          <cell r="I83" t="str">
            <v>FFS-10A</v>
          </cell>
          <cell r="J83">
            <v>3</v>
          </cell>
        </row>
        <row r="85">
          <cell r="I85" t="str">
            <v>FS4-3J</v>
          </cell>
          <cell r="J85">
            <v>2</v>
          </cell>
        </row>
        <row r="112">
          <cell r="I112" t="str">
            <v>H7015B1004</v>
          </cell>
          <cell r="J112">
            <v>3</v>
          </cell>
        </row>
        <row r="113">
          <cell r="I113" t="str">
            <v>DPS</v>
          </cell>
          <cell r="J113">
            <v>3</v>
          </cell>
        </row>
        <row r="114">
          <cell r="I114" t="str">
            <v>L480G</v>
          </cell>
          <cell r="J114">
            <v>3</v>
          </cell>
        </row>
        <row r="115">
          <cell r="I115" t="str">
            <v>DPS</v>
          </cell>
          <cell r="J115">
            <v>3</v>
          </cell>
        </row>
        <row r="119">
          <cell r="J119">
            <v>3</v>
          </cell>
        </row>
        <row r="120">
          <cell r="I120" t="str">
            <v>ML7174</v>
          </cell>
          <cell r="J120">
            <v>3</v>
          </cell>
        </row>
        <row r="135">
          <cell r="I135" t="str">
            <v>H7015B1004</v>
          </cell>
          <cell r="J135">
            <v>2</v>
          </cell>
        </row>
        <row r="136">
          <cell r="I136" t="str">
            <v>DPS</v>
          </cell>
          <cell r="J136">
            <v>2</v>
          </cell>
        </row>
        <row r="137">
          <cell r="I137" t="str">
            <v>L480G</v>
          </cell>
          <cell r="J137">
            <v>2</v>
          </cell>
        </row>
        <row r="138">
          <cell r="I138" t="str">
            <v>DPS</v>
          </cell>
          <cell r="J138">
            <v>2</v>
          </cell>
        </row>
        <row r="142">
          <cell r="J142">
            <v>2</v>
          </cell>
        </row>
        <row r="143">
          <cell r="I143" t="str">
            <v>ML7174</v>
          </cell>
          <cell r="J143">
            <v>2</v>
          </cell>
        </row>
        <row r="158">
          <cell r="I158" t="str">
            <v>H7015B1004</v>
          </cell>
          <cell r="J158">
            <v>2</v>
          </cell>
        </row>
        <row r="159">
          <cell r="I159" t="str">
            <v>DPS</v>
          </cell>
          <cell r="J159">
            <v>2</v>
          </cell>
        </row>
        <row r="160">
          <cell r="I160" t="str">
            <v>L480G</v>
          </cell>
          <cell r="J160">
            <v>2</v>
          </cell>
        </row>
        <row r="161">
          <cell r="I161" t="str">
            <v>DPS</v>
          </cell>
          <cell r="J161">
            <v>2</v>
          </cell>
        </row>
        <row r="165">
          <cell r="J165">
            <v>2</v>
          </cell>
        </row>
        <row r="166">
          <cell r="I166" t="str">
            <v>ML7174</v>
          </cell>
          <cell r="J166">
            <v>2</v>
          </cell>
        </row>
        <row r="177">
          <cell r="I177" t="str">
            <v>H7015B1004</v>
          </cell>
          <cell r="J177">
            <v>3</v>
          </cell>
        </row>
        <row r="178">
          <cell r="I178" t="str">
            <v>DPS</v>
          </cell>
          <cell r="J178">
            <v>3</v>
          </cell>
        </row>
        <row r="179">
          <cell r="I179" t="str">
            <v>L480G</v>
          </cell>
          <cell r="J179">
            <v>3</v>
          </cell>
        </row>
        <row r="180">
          <cell r="I180" t="str">
            <v>DPS</v>
          </cell>
          <cell r="J180">
            <v>3</v>
          </cell>
        </row>
        <row r="184">
          <cell r="J184">
            <v>3</v>
          </cell>
        </row>
        <row r="185">
          <cell r="I185" t="str">
            <v>ML7174</v>
          </cell>
          <cell r="J185">
            <v>3</v>
          </cell>
        </row>
        <row r="187">
          <cell r="I187" t="str">
            <v>LF20</v>
          </cell>
          <cell r="J187">
            <v>6</v>
          </cell>
        </row>
        <row r="188">
          <cell r="I188" t="str">
            <v>DPS</v>
          </cell>
          <cell r="J188">
            <v>3</v>
          </cell>
        </row>
        <row r="189">
          <cell r="I189" t="str">
            <v>L480G</v>
          </cell>
          <cell r="J189">
            <v>3</v>
          </cell>
        </row>
        <row r="190">
          <cell r="I190" t="str">
            <v>DPS</v>
          </cell>
          <cell r="J190">
            <v>3</v>
          </cell>
        </row>
        <row r="195">
          <cell r="J195">
            <v>3</v>
          </cell>
        </row>
        <row r="196">
          <cell r="I196" t="str">
            <v>ML7174</v>
          </cell>
          <cell r="J196">
            <v>3</v>
          </cell>
        </row>
        <row r="197">
          <cell r="I197" t="str">
            <v>ML7174</v>
          </cell>
          <cell r="J197">
            <v>3</v>
          </cell>
        </row>
        <row r="210">
          <cell r="I210" t="str">
            <v>H7015B1004</v>
          </cell>
          <cell r="J210">
            <v>17</v>
          </cell>
        </row>
        <row r="211">
          <cell r="I211" t="str">
            <v>DPS</v>
          </cell>
          <cell r="J211">
            <v>17</v>
          </cell>
        </row>
        <row r="212">
          <cell r="I212" t="str">
            <v>L480G</v>
          </cell>
          <cell r="J212">
            <v>17</v>
          </cell>
        </row>
        <row r="213">
          <cell r="I213" t="str">
            <v>DPS</v>
          </cell>
          <cell r="J213">
            <v>17</v>
          </cell>
        </row>
        <row r="217">
          <cell r="J217">
            <v>17</v>
          </cell>
        </row>
        <row r="218">
          <cell r="I218" t="str">
            <v>ML7174</v>
          </cell>
          <cell r="J218">
            <v>17</v>
          </cell>
        </row>
        <row r="233">
          <cell r="I233" t="str">
            <v>H7015B1004</v>
          </cell>
          <cell r="J233">
            <v>2</v>
          </cell>
        </row>
        <row r="234">
          <cell r="I234" t="str">
            <v>DPS</v>
          </cell>
          <cell r="J234">
            <v>2</v>
          </cell>
        </row>
        <row r="235">
          <cell r="I235" t="str">
            <v>L480G</v>
          </cell>
          <cell r="J235">
            <v>2</v>
          </cell>
        </row>
        <row r="236">
          <cell r="I236" t="str">
            <v>DPS</v>
          </cell>
          <cell r="J236">
            <v>2</v>
          </cell>
        </row>
        <row r="240">
          <cell r="J240">
            <v>2</v>
          </cell>
        </row>
        <row r="241">
          <cell r="I241" t="str">
            <v>ML7174</v>
          </cell>
          <cell r="J241">
            <v>2</v>
          </cell>
        </row>
        <row r="243">
          <cell r="I243" t="str">
            <v>H7015B1004</v>
          </cell>
          <cell r="J243">
            <v>1</v>
          </cell>
        </row>
        <row r="244">
          <cell r="I244" t="str">
            <v>DPS</v>
          </cell>
          <cell r="J244">
            <v>1</v>
          </cell>
        </row>
        <row r="245">
          <cell r="I245" t="str">
            <v>L480G</v>
          </cell>
          <cell r="J245">
            <v>1</v>
          </cell>
        </row>
        <row r="246">
          <cell r="I246" t="str">
            <v>DPS</v>
          </cell>
          <cell r="J246">
            <v>1</v>
          </cell>
        </row>
        <row r="251">
          <cell r="J251">
            <v>1</v>
          </cell>
        </row>
        <row r="252">
          <cell r="I252" t="str">
            <v>ML7174</v>
          </cell>
          <cell r="J252">
            <v>1</v>
          </cell>
        </row>
        <row r="253">
          <cell r="I253" t="str">
            <v>ML7174</v>
          </cell>
          <cell r="J253">
            <v>1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Schedule"/>
      <sheetName val="p1"/>
      <sheetName val="ENGG"/>
      <sheetName val="summary_p2"/>
      <sheetName val="p2"/>
    </sheetNames>
    <sheetDataSet>
      <sheetData sheetId="0"/>
      <sheetData sheetId="1"/>
      <sheetData sheetId="2"/>
      <sheetData sheetId="3"/>
      <sheetData sheetId="4">
        <row r="24">
          <cell r="D24">
            <v>2</v>
          </cell>
        </row>
        <row r="25">
          <cell r="D25">
            <v>2</v>
          </cell>
        </row>
        <row r="36">
          <cell r="D36">
            <v>1</v>
          </cell>
        </row>
        <row r="37">
          <cell r="D3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5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4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Relationship Id="rId9" Type="http://schemas.openxmlformats.org/officeDocument/2006/relationships/oleObject" Target="../embeddings/oleObject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5"/>
  <sheetViews>
    <sheetView workbookViewId="0">
      <selection activeCell="I9" sqref="I9"/>
    </sheetView>
  </sheetViews>
  <sheetFormatPr defaultRowHeight="13.5"/>
  <cols>
    <col min="1" max="1" width="10.75" style="377" customWidth="1"/>
    <col min="2" max="2" width="12.75" style="377" customWidth="1"/>
    <col min="3" max="3" width="11.375" style="377" customWidth="1"/>
    <col min="4" max="4" width="13.875" style="377" customWidth="1"/>
    <col min="5" max="5" width="13.875" style="394" customWidth="1"/>
    <col min="6" max="6" width="14.5" style="377" customWidth="1"/>
    <col min="7" max="12" width="11.625" style="377" customWidth="1"/>
    <col min="13" max="13" width="13.875" style="377" customWidth="1"/>
    <col min="14" max="16384" width="9" style="377"/>
  </cols>
  <sheetData>
    <row r="1" spans="1:13" ht="20.25">
      <c r="A1" s="466" t="s">
        <v>1864</v>
      </c>
      <c r="B1" s="466"/>
      <c r="C1" s="466"/>
      <c r="D1" s="466"/>
      <c r="E1" s="466"/>
      <c r="F1" s="466"/>
    </row>
    <row r="2" spans="1:13" ht="15" thickBot="1">
      <c r="A2" s="467" t="s">
        <v>1865</v>
      </c>
      <c r="B2" s="467"/>
      <c r="C2" s="468"/>
      <c r="D2" s="468"/>
      <c r="E2" s="468"/>
      <c r="F2" s="468"/>
    </row>
    <row r="3" spans="1:13" ht="15" thickBot="1">
      <c r="A3" s="467" t="s">
        <v>1866</v>
      </c>
      <c r="B3" s="467"/>
      <c r="C3" s="469"/>
      <c r="D3" s="469"/>
      <c r="E3" s="469"/>
      <c r="F3" s="469"/>
    </row>
    <row r="4" spans="1:13" ht="15" thickBot="1">
      <c r="A4" s="455" t="s">
        <v>1867</v>
      </c>
      <c r="B4" s="455"/>
      <c r="C4" s="469"/>
      <c r="D4" s="469"/>
      <c r="E4" s="469"/>
      <c r="F4" s="469"/>
    </row>
    <row r="5" spans="1:13" ht="14.25">
      <c r="A5" s="455" t="s">
        <v>1868</v>
      </c>
      <c r="B5" s="455"/>
      <c r="C5" s="225"/>
      <c r="D5" s="225"/>
      <c r="E5" s="225"/>
      <c r="F5" s="225"/>
    </row>
    <row r="6" spans="1:13">
      <c r="A6" s="378" t="s">
        <v>1869</v>
      </c>
      <c r="B6" s="459" t="s">
        <v>1870</v>
      </c>
      <c r="C6" s="459"/>
      <c r="D6" s="378" t="s">
        <v>1871</v>
      </c>
      <c r="E6" s="378" t="s">
        <v>1872</v>
      </c>
      <c r="F6" s="379" t="s">
        <v>476</v>
      </c>
    </row>
    <row r="7" spans="1:13">
      <c r="A7" s="380">
        <v>1</v>
      </c>
      <c r="B7" s="448" t="s">
        <v>1873</v>
      </c>
      <c r="C7" s="380" t="s">
        <v>1819</v>
      </c>
      <c r="D7" s="380"/>
      <c r="E7" s="460" t="s">
        <v>1824</v>
      </c>
      <c r="F7" s="463"/>
    </row>
    <row r="8" spans="1:13">
      <c r="A8" s="380">
        <v>2</v>
      </c>
      <c r="B8" s="448"/>
      <c r="C8" s="380" t="s">
        <v>1820</v>
      </c>
      <c r="D8" s="380"/>
      <c r="E8" s="461"/>
      <c r="F8" s="464"/>
    </row>
    <row r="9" spans="1:13">
      <c r="A9" s="380">
        <v>3</v>
      </c>
      <c r="B9" s="448"/>
      <c r="C9" s="380" t="s">
        <v>1821</v>
      </c>
      <c r="D9" s="380"/>
      <c r="E9" s="462"/>
      <c r="F9" s="465"/>
    </row>
    <row r="10" spans="1:13">
      <c r="A10" s="380">
        <v>4</v>
      </c>
      <c r="B10" s="448" t="s">
        <v>1874</v>
      </c>
      <c r="C10" s="448"/>
      <c r="D10" s="380"/>
      <c r="E10" s="381" t="s">
        <v>99</v>
      </c>
      <c r="F10" s="380"/>
    </row>
    <row r="11" spans="1:13">
      <c r="A11" s="380">
        <v>5</v>
      </c>
      <c r="B11" s="448" t="s">
        <v>1875</v>
      </c>
      <c r="C11" s="448"/>
      <c r="D11" s="380"/>
      <c r="E11" s="381" t="s">
        <v>1876</v>
      </c>
      <c r="F11" s="380"/>
    </row>
    <row r="12" spans="1:13" ht="15.75">
      <c r="A12" s="380">
        <v>6</v>
      </c>
      <c r="B12" s="448" t="s">
        <v>1828</v>
      </c>
      <c r="C12" s="448"/>
      <c r="D12" s="380"/>
      <c r="E12" s="381" t="s">
        <v>1877</v>
      </c>
      <c r="F12" s="380"/>
    </row>
    <row r="13" spans="1:13">
      <c r="A13" s="380">
        <v>7</v>
      </c>
      <c r="B13" s="448" t="s">
        <v>1878</v>
      </c>
      <c r="C13" s="448"/>
      <c r="D13" s="380"/>
      <c r="E13" s="381" t="s">
        <v>1879</v>
      </c>
      <c r="F13" s="380" t="s">
        <v>1880</v>
      </c>
    </row>
    <row r="14" spans="1:13">
      <c r="A14" s="382"/>
      <c r="B14" s="383"/>
      <c r="C14" s="383"/>
      <c r="D14" s="382"/>
      <c r="E14" s="383"/>
      <c r="F14" s="382"/>
    </row>
    <row r="15" spans="1:13">
      <c r="A15" s="380" t="s">
        <v>1881</v>
      </c>
      <c r="B15" s="380" t="s">
        <v>1882</v>
      </c>
      <c r="C15" s="380" t="s">
        <v>1883</v>
      </c>
      <c r="D15" s="384" t="s">
        <v>448</v>
      </c>
      <c r="E15" s="384" t="s">
        <v>1884</v>
      </c>
      <c r="F15" s="384" t="s">
        <v>1885</v>
      </c>
      <c r="G15" s="384" t="s">
        <v>449</v>
      </c>
      <c r="H15" s="384" t="s">
        <v>450</v>
      </c>
      <c r="I15" s="384" t="s">
        <v>451</v>
      </c>
      <c r="J15" s="384" t="s">
        <v>452</v>
      </c>
      <c r="K15" s="384" t="s">
        <v>453</v>
      </c>
      <c r="L15" s="384" t="s">
        <v>1886</v>
      </c>
      <c r="M15" s="384" t="s">
        <v>1887</v>
      </c>
    </row>
    <row r="16" spans="1:13">
      <c r="A16" s="380" t="s">
        <v>471</v>
      </c>
      <c r="B16" s="381"/>
      <c r="C16" s="381"/>
      <c r="D16" s="380"/>
      <c r="E16" s="381"/>
      <c r="F16" s="380"/>
      <c r="G16" s="384"/>
      <c r="H16" s="384"/>
      <c r="I16" s="384"/>
      <c r="J16" s="384"/>
      <c r="K16" s="384"/>
      <c r="L16" s="384"/>
      <c r="M16" s="384"/>
    </row>
    <row r="17" spans="1:6" ht="14.25">
      <c r="A17" s="225"/>
      <c r="B17" s="225"/>
      <c r="C17" s="225"/>
      <c r="D17" s="225"/>
      <c r="E17" s="225"/>
      <c r="F17" s="225"/>
    </row>
    <row r="18" spans="1:6" ht="14.25">
      <c r="A18" s="455" t="s">
        <v>1888</v>
      </c>
      <c r="B18" s="455"/>
      <c r="C18" s="225"/>
      <c r="D18" s="225"/>
      <c r="E18" s="225"/>
      <c r="F18" s="225"/>
    </row>
    <row r="19" spans="1:6">
      <c r="A19" s="379" t="s">
        <v>294</v>
      </c>
      <c r="B19" s="385" t="s">
        <v>1870</v>
      </c>
      <c r="C19" s="379" t="s">
        <v>288</v>
      </c>
      <c r="D19" s="386" t="s">
        <v>1889</v>
      </c>
      <c r="E19" s="386" t="s">
        <v>1890</v>
      </c>
      <c r="F19" s="386" t="s">
        <v>1891</v>
      </c>
    </row>
    <row r="20" spans="1:6">
      <c r="A20" s="380">
        <v>1</v>
      </c>
      <c r="B20" s="387" t="s">
        <v>1892</v>
      </c>
      <c r="C20" s="380" t="s">
        <v>99</v>
      </c>
      <c r="D20" s="387"/>
      <c r="E20" s="387"/>
      <c r="F20" s="387"/>
    </row>
    <row r="21" spans="1:6">
      <c r="A21" s="380">
        <v>2</v>
      </c>
      <c r="B21" s="387" t="s">
        <v>1893</v>
      </c>
      <c r="C21" s="380" t="s">
        <v>1876</v>
      </c>
      <c r="D21" s="387"/>
      <c r="E21" s="387"/>
      <c r="F21" s="387"/>
    </row>
    <row r="22" spans="1:6">
      <c r="A22" s="380">
        <v>3</v>
      </c>
      <c r="B22" s="387" t="s">
        <v>1894</v>
      </c>
      <c r="C22" s="380" t="s">
        <v>287</v>
      </c>
      <c r="D22" s="387"/>
      <c r="E22" s="387"/>
      <c r="F22" s="387"/>
    </row>
    <row r="23" spans="1:6">
      <c r="A23" s="380">
        <v>4</v>
      </c>
      <c r="B23" s="387" t="s">
        <v>1895</v>
      </c>
      <c r="C23" s="380" t="s">
        <v>133</v>
      </c>
      <c r="D23" s="387"/>
      <c r="E23" s="387"/>
      <c r="F23" s="387"/>
    </row>
    <row r="24" spans="1:6">
      <c r="A24" s="380">
        <v>5</v>
      </c>
      <c r="B24" s="387" t="s">
        <v>1896</v>
      </c>
      <c r="C24" s="380" t="s">
        <v>1147</v>
      </c>
      <c r="D24" s="456"/>
      <c r="E24" s="457"/>
      <c r="F24" s="458"/>
    </row>
    <row r="25" spans="1:6" ht="14.25">
      <c r="A25" s="225"/>
      <c r="B25" s="225"/>
      <c r="C25" s="225"/>
      <c r="D25" s="225"/>
      <c r="E25" s="225"/>
      <c r="F25" s="225"/>
    </row>
    <row r="26" spans="1:6" ht="14.25">
      <c r="A26" s="225"/>
      <c r="B26" s="225"/>
      <c r="C26" s="225"/>
      <c r="D26" s="225"/>
      <c r="E26" s="225"/>
      <c r="F26" s="225"/>
    </row>
    <row r="27" spans="1:6" ht="14.25">
      <c r="A27" s="388" t="s">
        <v>1897</v>
      </c>
      <c r="B27" s="388"/>
      <c r="C27" s="225"/>
      <c r="D27" s="225"/>
      <c r="E27" s="225"/>
      <c r="F27" s="225"/>
    </row>
    <row r="28" spans="1:6">
      <c r="A28" s="449" t="s">
        <v>1898</v>
      </c>
      <c r="B28" s="449"/>
      <c r="C28" s="449"/>
      <c r="D28" s="449"/>
      <c r="E28" s="449"/>
      <c r="F28" s="449"/>
    </row>
    <row r="29" spans="1:6" ht="27">
      <c r="A29" s="389" t="s">
        <v>1899</v>
      </c>
      <c r="B29" s="387" t="s">
        <v>1900</v>
      </c>
      <c r="C29" s="387" t="s">
        <v>1901</v>
      </c>
      <c r="D29" s="390" t="s">
        <v>1902</v>
      </c>
      <c r="E29" s="390" t="s">
        <v>1903</v>
      </c>
      <c r="F29" s="387" t="s">
        <v>1904</v>
      </c>
    </row>
    <row r="30" spans="1:6">
      <c r="A30" s="449" t="s">
        <v>1905</v>
      </c>
      <c r="B30" s="449"/>
      <c r="C30" s="449"/>
      <c r="D30" s="449"/>
      <c r="E30" s="449"/>
      <c r="F30" s="449"/>
    </row>
    <row r="31" spans="1:6">
      <c r="A31" s="387" t="s">
        <v>1906</v>
      </c>
      <c r="B31" s="387" t="s">
        <v>1907</v>
      </c>
      <c r="C31" s="390" t="s">
        <v>1901</v>
      </c>
      <c r="D31" s="390"/>
      <c r="E31" s="452" t="s">
        <v>1908</v>
      </c>
      <c r="F31" s="452"/>
    </row>
    <row r="32" spans="1:6">
      <c r="A32" s="391" t="s">
        <v>287</v>
      </c>
      <c r="B32" s="387" t="s">
        <v>1909</v>
      </c>
      <c r="C32" s="387" t="s">
        <v>1910</v>
      </c>
      <c r="D32" s="390"/>
      <c r="E32" s="452" t="s">
        <v>1911</v>
      </c>
      <c r="F32" s="452"/>
    </row>
    <row r="33" spans="1:6">
      <c r="A33" s="453" t="s">
        <v>1912</v>
      </c>
      <c r="B33" s="453"/>
      <c r="C33" s="387"/>
      <c r="D33" s="387"/>
      <c r="E33" s="387"/>
      <c r="F33" s="387"/>
    </row>
    <row r="34" spans="1:6">
      <c r="A34" s="452" t="s">
        <v>1907</v>
      </c>
      <c r="B34" s="452"/>
      <c r="C34" s="387" t="s">
        <v>1863</v>
      </c>
      <c r="D34" s="387" t="s">
        <v>1913</v>
      </c>
      <c r="E34" s="387"/>
      <c r="F34" s="380"/>
    </row>
    <row r="35" spans="1:6">
      <c r="A35" s="454" t="s">
        <v>1909</v>
      </c>
      <c r="B35" s="454"/>
      <c r="C35" s="392" t="s">
        <v>1836</v>
      </c>
      <c r="D35" s="392" t="s">
        <v>1914</v>
      </c>
      <c r="E35" s="392"/>
      <c r="F35" s="393"/>
    </row>
    <row r="36" spans="1:6">
      <c r="A36" s="449" t="s">
        <v>1915</v>
      </c>
      <c r="B36" s="449"/>
      <c r="C36" s="449"/>
      <c r="D36" s="449"/>
      <c r="E36" s="449"/>
      <c r="F36" s="449"/>
    </row>
    <row r="37" spans="1:6">
      <c r="A37" s="450" t="s">
        <v>1916</v>
      </c>
      <c r="B37" s="451"/>
      <c r="C37" s="452" t="s">
        <v>1917</v>
      </c>
      <c r="D37" s="452"/>
      <c r="E37" s="452" t="s">
        <v>1918</v>
      </c>
      <c r="F37" s="452"/>
    </row>
    <row r="38" spans="1:6">
      <c r="A38" s="450" t="s">
        <v>1919</v>
      </c>
      <c r="B38" s="451"/>
      <c r="C38" s="452" t="s">
        <v>1920</v>
      </c>
      <c r="D38" s="452"/>
      <c r="E38" s="452"/>
      <c r="F38" s="452"/>
    </row>
    <row r="39" spans="1:6" ht="14.25">
      <c r="A39" s="445" t="s">
        <v>1921</v>
      </c>
      <c r="B39" s="446"/>
      <c r="C39" s="226"/>
      <c r="D39" s="226"/>
      <c r="E39" s="226"/>
      <c r="F39" s="226"/>
    </row>
    <row r="40" spans="1:6">
      <c r="A40" s="379" t="s">
        <v>294</v>
      </c>
      <c r="B40" s="447" t="s">
        <v>292</v>
      </c>
      <c r="C40" s="447"/>
      <c r="D40" s="447" t="s">
        <v>1922</v>
      </c>
      <c r="E40" s="447"/>
      <c r="F40" s="447"/>
    </row>
    <row r="41" spans="1:6" ht="14.25">
      <c r="A41" s="223">
        <v>1</v>
      </c>
      <c r="B41" s="448" t="s">
        <v>1923</v>
      </c>
      <c r="C41" s="448"/>
      <c r="D41" s="435" t="s">
        <v>1924</v>
      </c>
      <c r="E41" s="435"/>
      <c r="F41" s="435"/>
    </row>
    <row r="42" spans="1:6" ht="14.25">
      <c r="A42" s="223">
        <v>2</v>
      </c>
      <c r="B42" s="433" t="s">
        <v>1925</v>
      </c>
      <c r="C42" s="434"/>
      <c r="D42" s="436"/>
      <c r="E42" s="436"/>
      <c r="F42" s="436"/>
    </row>
    <row r="43" spans="1:6" ht="14.25">
      <c r="A43" s="223">
        <v>3</v>
      </c>
      <c r="B43" s="433" t="s">
        <v>1926</v>
      </c>
      <c r="C43" s="434"/>
      <c r="D43" s="435" t="s">
        <v>1927</v>
      </c>
      <c r="E43" s="436"/>
      <c r="F43" s="436"/>
    </row>
    <row r="44" spans="1:6" ht="14.25">
      <c r="A44" s="380">
        <v>4</v>
      </c>
      <c r="B44" s="437" t="s">
        <v>1928</v>
      </c>
      <c r="C44" s="438"/>
      <c r="D44" s="439"/>
      <c r="E44" s="440"/>
      <c r="F44" s="441"/>
    </row>
    <row r="45" spans="1:6">
      <c r="A45" s="380">
        <v>5</v>
      </c>
      <c r="B45" s="437" t="s">
        <v>1929</v>
      </c>
      <c r="C45" s="438"/>
      <c r="D45" s="442" t="s">
        <v>1930</v>
      </c>
      <c r="E45" s="443"/>
      <c r="F45" s="444"/>
    </row>
  </sheetData>
  <mergeCells count="45">
    <mergeCell ref="A4:B4"/>
    <mergeCell ref="C4:F4"/>
    <mergeCell ref="A1:F1"/>
    <mergeCell ref="A2:B2"/>
    <mergeCell ref="C2:F2"/>
    <mergeCell ref="A3:B3"/>
    <mergeCell ref="C3:F3"/>
    <mergeCell ref="D24:F24"/>
    <mergeCell ref="A28:F28"/>
    <mergeCell ref="A5:B5"/>
    <mergeCell ref="B6:C6"/>
    <mergeCell ref="B7:B9"/>
    <mergeCell ref="E7:E9"/>
    <mergeCell ref="F7:F9"/>
    <mergeCell ref="B10:C10"/>
    <mergeCell ref="A35:B35"/>
    <mergeCell ref="B11:C11"/>
    <mergeCell ref="B12:C12"/>
    <mergeCell ref="B13:C13"/>
    <mergeCell ref="A18:B18"/>
    <mergeCell ref="A30:F30"/>
    <mergeCell ref="E31:F31"/>
    <mergeCell ref="E32:F32"/>
    <mergeCell ref="A33:B33"/>
    <mergeCell ref="A34:B34"/>
    <mergeCell ref="B42:C42"/>
    <mergeCell ref="D42:F42"/>
    <mergeCell ref="A36:F36"/>
    <mergeCell ref="A37:B37"/>
    <mergeCell ref="C37:D37"/>
    <mergeCell ref="E37:F37"/>
    <mergeCell ref="A38:B38"/>
    <mergeCell ref="C38:D38"/>
    <mergeCell ref="E38:F38"/>
    <mergeCell ref="A39:B39"/>
    <mergeCell ref="B40:C40"/>
    <mergeCell ref="D40:F40"/>
    <mergeCell ref="B41:C41"/>
    <mergeCell ref="D41:F41"/>
    <mergeCell ref="B43:C43"/>
    <mergeCell ref="D43:F43"/>
    <mergeCell ref="B44:C44"/>
    <mergeCell ref="D44:F44"/>
    <mergeCell ref="B45:C45"/>
    <mergeCell ref="D45:F4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44"/>
  <sheetViews>
    <sheetView topLeftCell="A31" workbookViewId="0">
      <selection activeCell="E42" sqref="E42"/>
    </sheetView>
  </sheetViews>
  <sheetFormatPr defaultRowHeight="14.25"/>
  <cols>
    <col min="1" max="1" width="9" style="195"/>
    <col min="2" max="2" width="17.5" style="195" customWidth="1"/>
    <col min="3" max="3" width="27.5" style="195" customWidth="1"/>
    <col min="4" max="4" width="9" style="195"/>
    <col min="5" max="5" width="9.5" style="195" customWidth="1"/>
    <col min="6" max="6" width="12.75" style="195" bestFit="1" customWidth="1"/>
    <col min="7" max="7" width="20" style="195" customWidth="1"/>
    <col min="8" max="8" width="17.625" style="195" customWidth="1"/>
    <col min="9" max="16384" width="9" style="195"/>
  </cols>
  <sheetData>
    <row r="1" spans="1:8">
      <c r="A1" s="205" t="s">
        <v>1253</v>
      </c>
    </row>
    <row r="2" spans="1:8">
      <c r="A2" s="194"/>
      <c r="B2" s="578" t="s">
        <v>1254</v>
      </c>
      <c r="C2" s="578"/>
      <c r="D2" s="194"/>
      <c r="E2" s="194" t="s">
        <v>1255</v>
      </c>
      <c r="F2" s="194" t="s">
        <v>1256</v>
      </c>
    </row>
    <row r="3" spans="1:8">
      <c r="A3" s="197" t="s">
        <v>1257</v>
      </c>
      <c r="B3" s="475" t="s">
        <v>1258</v>
      </c>
      <c r="C3" s="194"/>
      <c r="D3" s="194" t="s">
        <v>1259</v>
      </c>
      <c r="E3" s="207">
        <v>148</v>
      </c>
      <c r="F3" s="207">
        <f>E3+10</f>
        <v>158</v>
      </c>
      <c r="G3" s="208" t="s">
        <v>1242</v>
      </c>
    </row>
    <row r="4" spans="1:8">
      <c r="A4" s="197" t="s">
        <v>295</v>
      </c>
      <c r="B4" s="475"/>
      <c r="C4" s="194" t="s">
        <v>338</v>
      </c>
      <c r="D4" s="194" t="s">
        <v>286</v>
      </c>
      <c r="E4" s="579">
        <v>148</v>
      </c>
      <c r="F4" s="579"/>
      <c r="G4" s="208" t="s">
        <v>1242</v>
      </c>
    </row>
    <row r="5" spans="1:8">
      <c r="A5" s="197" t="s">
        <v>296</v>
      </c>
      <c r="B5" s="194" t="s">
        <v>329</v>
      </c>
      <c r="C5" s="209" t="s">
        <v>100</v>
      </c>
      <c r="D5" s="194"/>
      <c r="E5" s="194">
        <v>55</v>
      </c>
      <c r="F5" s="194">
        <v>65</v>
      </c>
      <c r="G5" s="208" t="s">
        <v>1242</v>
      </c>
    </row>
    <row r="6" spans="1:8">
      <c r="A6" s="197" t="s">
        <v>297</v>
      </c>
      <c r="B6" s="194" t="s">
        <v>330</v>
      </c>
      <c r="C6" s="194"/>
      <c r="D6" s="194" t="s">
        <v>333</v>
      </c>
      <c r="E6" s="207">
        <f>E4*E5</f>
        <v>8140</v>
      </c>
      <c r="F6" s="207">
        <f>E4*F5</f>
        <v>9620</v>
      </c>
      <c r="G6" s="210" t="s">
        <v>1239</v>
      </c>
    </row>
    <row r="7" spans="1:8">
      <c r="A7" s="197" t="s">
        <v>298</v>
      </c>
      <c r="B7" s="194" t="s">
        <v>331</v>
      </c>
      <c r="C7" s="194"/>
      <c r="D7" s="194" t="s">
        <v>333</v>
      </c>
      <c r="E7" s="194">
        <v>600</v>
      </c>
      <c r="F7" s="194">
        <v>600</v>
      </c>
      <c r="G7" s="208" t="s">
        <v>1242</v>
      </c>
      <c r="H7" s="195" t="s">
        <v>1158</v>
      </c>
    </row>
    <row r="8" spans="1:8">
      <c r="A8" s="197" t="s">
        <v>299</v>
      </c>
      <c r="B8" s="475" t="s">
        <v>332</v>
      </c>
      <c r="C8" s="194"/>
      <c r="D8" s="194" t="s">
        <v>333</v>
      </c>
      <c r="E8" s="207">
        <f>E6+E7</f>
        <v>8740</v>
      </c>
      <c r="F8" s="207">
        <f>F6+F7</f>
        <v>10220</v>
      </c>
      <c r="G8" s="210" t="s">
        <v>1239</v>
      </c>
      <c r="H8" s="195" t="s">
        <v>1260</v>
      </c>
    </row>
    <row r="9" spans="1:8">
      <c r="A9" s="197" t="s">
        <v>300</v>
      </c>
      <c r="B9" s="475"/>
      <c r="C9" s="194" t="s">
        <v>1262</v>
      </c>
      <c r="D9" s="194" t="s">
        <v>333</v>
      </c>
      <c r="E9" s="579">
        <v>10960</v>
      </c>
      <c r="F9" s="579"/>
      <c r="G9" s="195">
        <v>7</v>
      </c>
      <c r="H9" s="208" t="s">
        <v>1242</v>
      </c>
    </row>
    <row r="10" spans="1:8" ht="19.5" customHeight="1">
      <c r="A10" s="197" t="s">
        <v>301</v>
      </c>
      <c r="B10" s="194" t="s">
        <v>339</v>
      </c>
      <c r="C10" s="211"/>
      <c r="D10" s="194" t="s">
        <v>99</v>
      </c>
      <c r="E10" s="194">
        <v>10</v>
      </c>
      <c r="F10" s="194"/>
      <c r="G10" s="195">
        <f>E9/G9</f>
        <v>1565.7142857142858</v>
      </c>
      <c r="H10" s="208" t="s">
        <v>1242</v>
      </c>
    </row>
    <row r="11" spans="1:8">
      <c r="A11" s="197" t="s">
        <v>302</v>
      </c>
      <c r="B11" s="194" t="s">
        <v>340</v>
      </c>
      <c r="C11" s="211"/>
      <c r="D11" s="194" t="s">
        <v>99</v>
      </c>
      <c r="E11" s="194">
        <v>26</v>
      </c>
      <c r="F11" s="194"/>
      <c r="G11" s="208" t="s">
        <v>1242</v>
      </c>
    </row>
    <row r="12" spans="1:8">
      <c r="A12" s="197" t="s">
        <v>303</v>
      </c>
      <c r="B12" s="194" t="s">
        <v>278</v>
      </c>
      <c r="C12" s="212" t="s">
        <v>342</v>
      </c>
      <c r="D12" s="194"/>
      <c r="E12" s="194">
        <v>0.14599999999999999</v>
      </c>
      <c r="F12" s="194"/>
      <c r="G12" s="208" t="s">
        <v>1242</v>
      </c>
    </row>
    <row r="13" spans="1:8">
      <c r="A13" s="197" t="s">
        <v>304</v>
      </c>
      <c r="B13" s="194" t="s">
        <v>343</v>
      </c>
      <c r="C13" s="194" t="s">
        <v>373</v>
      </c>
      <c r="D13" s="194" t="s">
        <v>287</v>
      </c>
      <c r="E13" s="194">
        <f>E12*E10</f>
        <v>1.46</v>
      </c>
      <c r="F13" s="194"/>
      <c r="G13" s="210" t="s">
        <v>1239</v>
      </c>
    </row>
    <row r="14" spans="1:8">
      <c r="A14" s="197" t="s">
        <v>305</v>
      </c>
      <c r="B14" s="194" t="s">
        <v>372</v>
      </c>
      <c r="C14" s="194" t="s">
        <v>374</v>
      </c>
      <c r="D14" s="194" t="s">
        <v>333</v>
      </c>
      <c r="E14" s="196">
        <f>E13*E9/100</f>
        <v>160.01599999999999</v>
      </c>
      <c r="F14" s="194"/>
      <c r="G14" s="210" t="s">
        <v>1239</v>
      </c>
    </row>
    <row r="15" spans="1:8" ht="28.5">
      <c r="A15" s="197" t="s">
        <v>306</v>
      </c>
      <c r="B15" s="194" t="s">
        <v>375</v>
      </c>
      <c r="C15" s="211" t="s">
        <v>380</v>
      </c>
      <c r="D15" s="194"/>
      <c r="E15" s="194">
        <v>0.3</v>
      </c>
      <c r="F15" s="194"/>
      <c r="G15" s="208" t="s">
        <v>1242</v>
      </c>
    </row>
    <row r="16" spans="1:8">
      <c r="A16" s="197" t="s">
        <v>307</v>
      </c>
      <c r="B16" s="194" t="s">
        <v>1263</v>
      </c>
      <c r="C16" s="211"/>
      <c r="D16" s="194" t="s">
        <v>333</v>
      </c>
      <c r="E16" s="196">
        <f>E15*E9/100</f>
        <v>32.880000000000003</v>
      </c>
      <c r="F16" s="194"/>
      <c r="G16" s="210" t="s">
        <v>1239</v>
      </c>
    </row>
    <row r="17" spans="1:8">
      <c r="A17" s="197" t="s">
        <v>308</v>
      </c>
      <c r="B17" s="194" t="s">
        <v>376</v>
      </c>
      <c r="C17" s="194" t="s">
        <v>379</v>
      </c>
      <c r="D17" s="194"/>
      <c r="E17" s="194">
        <v>3</v>
      </c>
      <c r="F17" s="194"/>
      <c r="G17" s="208" t="s">
        <v>1242</v>
      </c>
    </row>
    <row r="18" spans="1:8">
      <c r="A18" s="197" t="s">
        <v>309</v>
      </c>
      <c r="B18" s="194" t="s">
        <v>377</v>
      </c>
      <c r="C18" s="194" t="s">
        <v>378</v>
      </c>
      <c r="D18" s="194"/>
      <c r="E18" s="194">
        <f>(E13-E15*(E17-1))/(E17-1)</f>
        <v>0.43</v>
      </c>
      <c r="F18" s="194"/>
      <c r="G18" s="210" t="s">
        <v>1239</v>
      </c>
    </row>
    <row r="19" spans="1:8">
      <c r="A19" s="197" t="s">
        <v>311</v>
      </c>
      <c r="B19" s="194" t="s">
        <v>381</v>
      </c>
      <c r="C19" s="194"/>
      <c r="D19" s="194" t="s">
        <v>333</v>
      </c>
      <c r="E19" s="196">
        <f>E18*E9/100</f>
        <v>47.128</v>
      </c>
      <c r="F19" s="194"/>
      <c r="G19" s="210" t="s">
        <v>1239</v>
      </c>
    </row>
    <row r="20" spans="1:8">
      <c r="A20" s="197" t="s">
        <v>322</v>
      </c>
      <c r="B20" s="194" t="s">
        <v>335</v>
      </c>
      <c r="C20" s="194"/>
      <c r="D20" s="194" t="s">
        <v>333</v>
      </c>
      <c r="E20" s="213">
        <f>E19+E16+E14</f>
        <v>240.024</v>
      </c>
      <c r="F20" s="194">
        <f>E20/E14</f>
        <v>1.5</v>
      </c>
      <c r="G20" s="210" t="s">
        <v>1239</v>
      </c>
      <c r="H20" s="195" t="s">
        <v>101</v>
      </c>
    </row>
    <row r="21" spans="1:8">
      <c r="A21" s="197" t="s">
        <v>323</v>
      </c>
      <c r="B21" s="194" t="s">
        <v>386</v>
      </c>
      <c r="C21" s="194" t="s">
        <v>337</v>
      </c>
      <c r="D21" s="194" t="s">
        <v>336</v>
      </c>
      <c r="E21" s="214">
        <f>E9/60*15</f>
        <v>2740</v>
      </c>
      <c r="F21" s="194"/>
      <c r="G21" s="210" t="s">
        <v>1239</v>
      </c>
    </row>
    <row r="22" spans="1:8">
      <c r="A22" s="197" t="s">
        <v>324</v>
      </c>
      <c r="B22" s="194"/>
      <c r="C22" s="194" t="s">
        <v>382</v>
      </c>
      <c r="D22" s="194" t="s">
        <v>239</v>
      </c>
      <c r="E22" s="206">
        <v>5</v>
      </c>
      <c r="F22" s="194"/>
      <c r="G22" s="208" t="s">
        <v>1242</v>
      </c>
    </row>
    <row r="23" spans="1:8">
      <c r="A23" s="197" t="s">
        <v>312</v>
      </c>
      <c r="B23" s="194"/>
      <c r="C23" s="194" t="s">
        <v>146</v>
      </c>
      <c r="D23" s="194" t="s">
        <v>239</v>
      </c>
      <c r="E23" s="206">
        <v>25</v>
      </c>
      <c r="F23" s="194"/>
      <c r="G23" s="208" t="s">
        <v>1242</v>
      </c>
    </row>
    <row r="24" spans="1:8">
      <c r="A24" s="197" t="s">
        <v>313</v>
      </c>
      <c r="B24" s="194"/>
      <c r="C24" s="194" t="s">
        <v>147</v>
      </c>
      <c r="D24" s="194" t="s">
        <v>239</v>
      </c>
      <c r="E24" s="206">
        <v>20</v>
      </c>
      <c r="F24" s="194"/>
      <c r="G24" s="208" t="s">
        <v>1242</v>
      </c>
    </row>
    <row r="25" spans="1:8">
      <c r="A25" s="197" t="s">
        <v>314</v>
      </c>
      <c r="B25" s="194" t="s">
        <v>385</v>
      </c>
      <c r="C25" s="194"/>
      <c r="D25" s="194" t="s">
        <v>336</v>
      </c>
      <c r="E25" s="194">
        <f>E22*E23*E24</f>
        <v>2500</v>
      </c>
      <c r="F25" s="194"/>
      <c r="G25" s="210" t="s">
        <v>1239</v>
      </c>
    </row>
    <row r="26" spans="1:8">
      <c r="A26" s="205" t="s">
        <v>404</v>
      </c>
    </row>
    <row r="27" spans="1:8" ht="28.5">
      <c r="A27" s="197" t="s">
        <v>387</v>
      </c>
      <c r="B27" s="215" t="s">
        <v>388</v>
      </c>
      <c r="C27" s="215" t="s">
        <v>282</v>
      </c>
      <c r="D27" s="215" t="s">
        <v>283</v>
      </c>
      <c r="E27" s="216">
        <f>E29+E28</f>
        <v>0.214</v>
      </c>
      <c r="G27" s="210" t="s">
        <v>1239</v>
      </c>
    </row>
    <row r="28" spans="1:8">
      <c r="A28" s="197" t="s">
        <v>295</v>
      </c>
      <c r="B28" s="215" t="s">
        <v>389</v>
      </c>
      <c r="C28" s="215" t="s">
        <v>390</v>
      </c>
      <c r="D28" s="215" t="s">
        <v>283</v>
      </c>
      <c r="E28" s="216">
        <v>3.4000000000000002E-2</v>
      </c>
      <c r="G28" s="208" t="s">
        <v>1242</v>
      </c>
    </row>
    <row r="29" spans="1:8">
      <c r="A29" s="197" t="s">
        <v>296</v>
      </c>
      <c r="B29" s="215" t="s">
        <v>391</v>
      </c>
      <c r="C29" s="215"/>
      <c r="D29" s="215" t="s">
        <v>283</v>
      </c>
      <c r="E29" s="216">
        <v>0.18</v>
      </c>
      <c r="G29" s="208" t="s">
        <v>1242</v>
      </c>
    </row>
    <row r="30" spans="1:8">
      <c r="A30" s="197" t="s">
        <v>297</v>
      </c>
      <c r="B30" s="215" t="s">
        <v>392</v>
      </c>
      <c r="C30" s="215" t="s">
        <v>282</v>
      </c>
      <c r="D30" s="215" t="s">
        <v>283</v>
      </c>
      <c r="E30" s="216">
        <v>0.1</v>
      </c>
      <c r="G30" s="208" t="s">
        <v>1242</v>
      </c>
    </row>
    <row r="31" spans="1:8" ht="42.75">
      <c r="A31" s="197" t="s">
        <v>298</v>
      </c>
      <c r="B31" s="215" t="s">
        <v>394</v>
      </c>
      <c r="C31" s="215" t="s">
        <v>282</v>
      </c>
      <c r="D31" s="215" t="s">
        <v>393</v>
      </c>
      <c r="E31" s="216">
        <v>4</v>
      </c>
      <c r="G31" s="208" t="s">
        <v>1242</v>
      </c>
    </row>
    <row r="32" spans="1:8" ht="28.5">
      <c r="A32" s="197" t="s">
        <v>299</v>
      </c>
      <c r="B32" s="215" t="s">
        <v>395</v>
      </c>
      <c r="C32" s="215"/>
      <c r="D32" s="215" t="s">
        <v>239</v>
      </c>
      <c r="E32" s="216">
        <v>-2.5</v>
      </c>
      <c r="G32" s="208" t="s">
        <v>1242</v>
      </c>
    </row>
    <row r="33" spans="1:7" ht="18.75">
      <c r="A33" s="197" t="s">
        <v>300</v>
      </c>
      <c r="B33" s="215" t="s">
        <v>396</v>
      </c>
      <c r="C33" s="215" t="s">
        <v>397</v>
      </c>
      <c r="D33" s="215" t="s">
        <v>239</v>
      </c>
      <c r="E33" s="216">
        <v>4</v>
      </c>
      <c r="G33" s="208" t="s">
        <v>1242</v>
      </c>
    </row>
    <row r="34" spans="1:7">
      <c r="A34" s="197" t="s">
        <v>301</v>
      </c>
      <c r="B34" s="215" t="s">
        <v>399</v>
      </c>
      <c r="C34" s="215" t="s">
        <v>390</v>
      </c>
      <c r="D34" s="215" t="s">
        <v>239</v>
      </c>
      <c r="E34" s="216">
        <v>5</v>
      </c>
      <c r="G34" s="208" t="s">
        <v>1242</v>
      </c>
    </row>
    <row r="35" spans="1:7" ht="28.5">
      <c r="A35" s="197" t="s">
        <v>302</v>
      </c>
      <c r="B35" s="215" t="s">
        <v>401</v>
      </c>
      <c r="C35" s="215" t="s">
        <v>402</v>
      </c>
      <c r="D35" s="215" t="s">
        <v>239</v>
      </c>
      <c r="E35" s="217">
        <f>102*(E27-E30)+E31-E32+(E33+E34)*1.2</f>
        <v>28.927999999999997</v>
      </c>
      <c r="G35" s="210" t="s">
        <v>1239</v>
      </c>
    </row>
    <row r="36" spans="1:7">
      <c r="A36" s="197" t="s">
        <v>303</v>
      </c>
      <c r="B36" s="215" t="s">
        <v>403</v>
      </c>
      <c r="C36" s="215"/>
      <c r="D36" s="215" t="s">
        <v>286</v>
      </c>
      <c r="E36" s="218">
        <f>E9/2</f>
        <v>5480</v>
      </c>
      <c r="G36" s="210" t="s">
        <v>1239</v>
      </c>
    </row>
    <row r="37" spans="1:7">
      <c r="A37" s="197" t="s">
        <v>304</v>
      </c>
      <c r="B37" s="215" t="s">
        <v>411</v>
      </c>
      <c r="C37" s="215" t="s">
        <v>238</v>
      </c>
      <c r="D37" s="215"/>
      <c r="E37" s="215">
        <v>0.88</v>
      </c>
      <c r="G37" s="208" t="s">
        <v>1242</v>
      </c>
    </row>
    <row r="38" spans="1:7" ht="28.5">
      <c r="A38" s="197" t="s">
        <v>305</v>
      </c>
      <c r="B38" s="215" t="s">
        <v>414</v>
      </c>
      <c r="C38" s="215" t="s">
        <v>415</v>
      </c>
      <c r="D38" s="215"/>
      <c r="E38" s="215">
        <v>0.98</v>
      </c>
      <c r="G38" s="208" t="s">
        <v>1242</v>
      </c>
    </row>
    <row r="39" spans="1:7">
      <c r="A39" s="197" t="s">
        <v>306</v>
      </c>
      <c r="B39" s="215" t="s">
        <v>417</v>
      </c>
      <c r="C39" s="215" t="s">
        <v>237</v>
      </c>
      <c r="D39" s="215"/>
      <c r="E39" s="215">
        <v>0.98</v>
      </c>
      <c r="G39" s="208" t="s">
        <v>1242</v>
      </c>
    </row>
    <row r="40" spans="1:7">
      <c r="A40" s="197" t="s">
        <v>307</v>
      </c>
      <c r="B40" s="215" t="s">
        <v>420</v>
      </c>
      <c r="C40" s="215" t="s">
        <v>421</v>
      </c>
      <c r="D40" s="215"/>
      <c r="E40" s="215">
        <v>1.1000000000000001</v>
      </c>
      <c r="G40" s="208" t="s">
        <v>1242</v>
      </c>
    </row>
    <row r="41" spans="1:7" ht="15">
      <c r="A41" s="197" t="s">
        <v>308</v>
      </c>
      <c r="B41" s="215" t="s">
        <v>424</v>
      </c>
      <c r="C41" s="215" t="s">
        <v>425</v>
      </c>
      <c r="D41" s="215"/>
      <c r="E41" s="219">
        <f>E40*1000*9.8*E35*E36/3600/1000/E37/E38/E39</f>
        <v>561.66893424036266</v>
      </c>
      <c r="G41" s="210" t="s">
        <v>1239</v>
      </c>
    </row>
    <row r="42" spans="1:7">
      <c r="A42" s="475" t="s">
        <v>309</v>
      </c>
      <c r="B42" s="580" t="s">
        <v>405</v>
      </c>
      <c r="C42" s="581" t="s">
        <v>426</v>
      </c>
      <c r="D42" s="220" t="s">
        <v>427</v>
      </c>
      <c r="E42" s="221">
        <f>E41/2</f>
        <v>280.83446712018133</v>
      </c>
      <c r="G42" s="210" t="s">
        <v>1239</v>
      </c>
    </row>
    <row r="43" spans="1:7">
      <c r="A43" s="475"/>
      <c r="B43" s="580"/>
      <c r="C43" s="581"/>
      <c r="D43" s="220" t="s">
        <v>403</v>
      </c>
      <c r="E43" s="220">
        <f>E36/2</f>
        <v>2740</v>
      </c>
      <c r="G43" s="210" t="s">
        <v>1239</v>
      </c>
    </row>
    <row r="44" spans="1:7">
      <c r="A44" s="475"/>
      <c r="B44" s="580"/>
      <c r="C44" s="581"/>
      <c r="D44" s="220" t="s">
        <v>428</v>
      </c>
      <c r="E44" s="222">
        <f>E35</f>
        <v>28.927999999999997</v>
      </c>
      <c r="G44" s="210" t="s">
        <v>1239</v>
      </c>
    </row>
  </sheetData>
  <mergeCells count="8">
    <mergeCell ref="A42:A44"/>
    <mergeCell ref="B42:B44"/>
    <mergeCell ref="C42:C44"/>
    <mergeCell ref="B2:C2"/>
    <mergeCell ref="B3:B4"/>
    <mergeCell ref="E4:F4"/>
    <mergeCell ref="B8:B9"/>
    <mergeCell ref="E9:F9"/>
  </mergeCells>
  <phoneticPr fontId="3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F70"/>
  <sheetViews>
    <sheetView workbookViewId="0">
      <selection activeCell="H8" sqref="H8"/>
    </sheetView>
  </sheetViews>
  <sheetFormatPr defaultRowHeight="20.100000000000001" customHeight="1"/>
  <cols>
    <col min="4" max="4" width="58.875" customWidth="1"/>
    <col min="5" max="5" width="25.875" customWidth="1"/>
    <col min="6" max="6" width="11.625" bestFit="1" customWidth="1"/>
  </cols>
  <sheetData>
    <row r="1" spans="1:6" ht="20.100000000000001" customHeight="1">
      <c r="A1" s="2" t="s">
        <v>1003</v>
      </c>
    </row>
    <row r="2" spans="1:6" ht="20.100000000000001" customHeight="1">
      <c r="A2" s="10" t="s">
        <v>321</v>
      </c>
      <c r="B2" s="22" t="s">
        <v>422</v>
      </c>
      <c r="C2" s="22" t="s">
        <v>987</v>
      </c>
      <c r="D2" s="22" t="s">
        <v>1004</v>
      </c>
      <c r="E2" s="22" t="s">
        <v>1005</v>
      </c>
      <c r="F2" s="23">
        <v>0.59</v>
      </c>
    </row>
    <row r="3" spans="1:6" ht="20.100000000000001" customHeight="1">
      <c r="A3" s="10" t="s">
        <v>295</v>
      </c>
      <c r="B3" s="22" t="s">
        <v>992</v>
      </c>
      <c r="C3" s="22" t="s">
        <v>996</v>
      </c>
      <c r="D3" s="22" t="s">
        <v>106</v>
      </c>
      <c r="E3" s="22" t="s">
        <v>1005</v>
      </c>
      <c r="F3" s="23">
        <v>25</v>
      </c>
    </row>
    <row r="4" spans="1:6" ht="20.100000000000001" customHeight="1">
      <c r="A4" s="10" t="s">
        <v>296</v>
      </c>
      <c r="B4" s="22" t="s">
        <v>995</v>
      </c>
      <c r="C4" s="22" t="s">
        <v>996</v>
      </c>
      <c r="D4" s="22" t="s">
        <v>1006</v>
      </c>
      <c r="E4" s="22" t="s">
        <v>1005</v>
      </c>
      <c r="F4" s="23">
        <v>10</v>
      </c>
    </row>
    <row r="5" spans="1:6" ht="20.100000000000001" customHeight="1">
      <c r="A5" s="10" t="s">
        <v>297</v>
      </c>
      <c r="B5" s="22" t="s">
        <v>422</v>
      </c>
      <c r="C5" s="22" t="s">
        <v>987</v>
      </c>
      <c r="D5" s="22" t="s">
        <v>1007</v>
      </c>
      <c r="E5" s="22" t="s">
        <v>1005</v>
      </c>
      <c r="F5" s="23">
        <v>4.8999999999999998E-3</v>
      </c>
    </row>
    <row r="6" spans="1:6" ht="20.100000000000001" customHeight="1">
      <c r="A6" s="10" t="s">
        <v>298</v>
      </c>
      <c r="B6" s="22" t="s">
        <v>1008</v>
      </c>
      <c r="C6" s="22" t="s">
        <v>996</v>
      </c>
      <c r="D6" s="22" t="s">
        <v>1009</v>
      </c>
      <c r="E6" s="22" t="s">
        <v>998</v>
      </c>
      <c r="F6" s="23">
        <v>20</v>
      </c>
    </row>
    <row r="7" spans="1:6" ht="20.100000000000001" customHeight="1">
      <c r="A7" s="10" t="s">
        <v>299</v>
      </c>
      <c r="B7" s="22" t="s">
        <v>1010</v>
      </c>
      <c r="C7" s="22" t="s">
        <v>996</v>
      </c>
      <c r="D7" s="22" t="s">
        <v>1011</v>
      </c>
      <c r="E7" s="22" t="s">
        <v>1012</v>
      </c>
      <c r="F7" s="126">
        <f>101.97*(1.15*F2-F5)+F3+F4+F6</f>
        <v>123.68699199999999</v>
      </c>
    </row>
    <row r="8" spans="1:6" ht="20.100000000000001" customHeight="1">
      <c r="A8" s="10" t="s">
        <v>300</v>
      </c>
      <c r="B8" s="22" t="s">
        <v>406</v>
      </c>
      <c r="C8" s="22" t="s">
        <v>408</v>
      </c>
      <c r="D8" s="22" t="s">
        <v>407</v>
      </c>
      <c r="E8" s="22" t="s">
        <v>284</v>
      </c>
      <c r="F8" s="23">
        <v>130</v>
      </c>
    </row>
    <row r="9" spans="1:6" ht="20.100000000000001" customHeight="1">
      <c r="A9" s="10" t="s">
        <v>301</v>
      </c>
      <c r="B9" s="22" t="s">
        <v>409</v>
      </c>
      <c r="C9" s="22" t="s">
        <v>410</v>
      </c>
      <c r="D9" s="22" t="s">
        <v>411</v>
      </c>
      <c r="E9" s="22" t="s">
        <v>412</v>
      </c>
      <c r="F9" s="22">
        <v>0.6</v>
      </c>
    </row>
    <row r="10" spans="1:6" ht="20.100000000000001" customHeight="1">
      <c r="A10" s="10" t="s">
        <v>302</v>
      </c>
      <c r="B10" s="22" t="s">
        <v>413</v>
      </c>
      <c r="C10" s="22" t="s">
        <v>410</v>
      </c>
      <c r="D10" s="22" t="s">
        <v>414</v>
      </c>
      <c r="E10" s="22" t="s">
        <v>415</v>
      </c>
      <c r="F10" s="22">
        <v>0.98</v>
      </c>
    </row>
    <row r="11" spans="1:6" ht="20.100000000000001" customHeight="1">
      <c r="A11" s="10" t="s">
        <v>303</v>
      </c>
      <c r="B11" s="22" t="s">
        <v>416</v>
      </c>
      <c r="C11" s="22" t="s">
        <v>410</v>
      </c>
      <c r="D11" s="22" t="s">
        <v>417</v>
      </c>
      <c r="E11" s="22" t="s">
        <v>418</v>
      </c>
      <c r="F11" s="22">
        <v>0.75</v>
      </c>
    </row>
    <row r="12" spans="1:6" ht="20.100000000000001" customHeight="1">
      <c r="A12" s="10" t="s">
        <v>304</v>
      </c>
      <c r="B12" s="22" t="s">
        <v>419</v>
      </c>
      <c r="C12" s="22" t="s">
        <v>410</v>
      </c>
      <c r="D12" s="22" t="s">
        <v>420</v>
      </c>
      <c r="E12" s="22" t="s">
        <v>421</v>
      </c>
      <c r="F12" s="22">
        <v>1.1499999999999999</v>
      </c>
    </row>
    <row r="13" spans="1:6" ht="20.100000000000001" customHeight="1">
      <c r="A13" s="10" t="s">
        <v>305</v>
      </c>
      <c r="B13" s="22" t="s">
        <v>422</v>
      </c>
      <c r="C13" s="22" t="s">
        <v>423</v>
      </c>
      <c r="D13" s="22" t="s">
        <v>424</v>
      </c>
      <c r="E13" s="22" t="s">
        <v>425</v>
      </c>
      <c r="F13" s="126">
        <f>F12*1000*9.8*F7*1.15*F8/3600/1000/F9/F10:F10/F11</f>
        <v>131.26472900987656</v>
      </c>
    </row>
    <row r="14" spans="1:6" ht="20.100000000000001" customHeight="1">
      <c r="A14" s="583" t="s">
        <v>306</v>
      </c>
      <c r="B14" s="583" t="s">
        <v>107</v>
      </c>
      <c r="C14" s="585" t="s">
        <v>109</v>
      </c>
      <c r="D14" s="586"/>
      <c r="E14" s="587" t="s">
        <v>110</v>
      </c>
      <c r="F14" s="588"/>
    </row>
    <row r="15" spans="1:6" ht="20.100000000000001" customHeight="1">
      <c r="A15" s="584"/>
      <c r="B15" s="584"/>
      <c r="C15" s="585" t="s">
        <v>108</v>
      </c>
      <c r="D15" s="586"/>
      <c r="E15" s="589"/>
      <c r="F15" s="590"/>
    </row>
    <row r="16" spans="1:6" ht="20.100000000000001" customHeight="1">
      <c r="A16" s="2" t="s">
        <v>112</v>
      </c>
    </row>
    <row r="17" spans="1:6" ht="20.100000000000001" customHeight="1">
      <c r="A17" s="10" t="s">
        <v>321</v>
      </c>
      <c r="B17" s="22" t="s">
        <v>986</v>
      </c>
      <c r="C17" s="22" t="s">
        <v>987</v>
      </c>
      <c r="D17" s="22" t="s">
        <v>988</v>
      </c>
      <c r="E17" s="22" t="s">
        <v>989</v>
      </c>
      <c r="F17" s="23">
        <v>0.44</v>
      </c>
    </row>
    <row r="18" spans="1:6" ht="20.100000000000001" customHeight="1">
      <c r="A18" s="10" t="s">
        <v>295</v>
      </c>
      <c r="B18" s="22" t="s">
        <v>990</v>
      </c>
      <c r="C18" s="22" t="s">
        <v>987</v>
      </c>
      <c r="D18" s="22" t="s">
        <v>991</v>
      </c>
      <c r="E18" s="22" t="s">
        <v>989</v>
      </c>
      <c r="F18" s="23">
        <v>0.1</v>
      </c>
    </row>
    <row r="19" spans="1:6" ht="20.100000000000001" customHeight="1">
      <c r="A19" s="10" t="s">
        <v>296</v>
      </c>
      <c r="B19" s="22" t="s">
        <v>992</v>
      </c>
      <c r="C19" s="22" t="s">
        <v>993</v>
      </c>
      <c r="D19" s="130" t="s">
        <v>994</v>
      </c>
      <c r="E19" s="22" t="s">
        <v>989</v>
      </c>
      <c r="F19" s="23">
        <v>6</v>
      </c>
    </row>
    <row r="20" spans="1:6" ht="20.100000000000001" customHeight="1">
      <c r="A20" s="10" t="s">
        <v>297</v>
      </c>
      <c r="B20" s="22" t="s">
        <v>995</v>
      </c>
      <c r="C20" s="22" t="s">
        <v>996</v>
      </c>
      <c r="D20" s="22" t="s">
        <v>997</v>
      </c>
      <c r="E20" s="131" t="s">
        <v>998</v>
      </c>
      <c r="F20" s="23">
        <v>5</v>
      </c>
    </row>
    <row r="21" spans="1:6" ht="20.100000000000001" customHeight="1">
      <c r="A21" s="10" t="s">
        <v>298</v>
      </c>
      <c r="B21" s="22" t="s">
        <v>400</v>
      </c>
      <c r="C21" s="22" t="s">
        <v>398</v>
      </c>
      <c r="D21" s="22" t="s">
        <v>401</v>
      </c>
      <c r="E21" s="131" t="s">
        <v>999</v>
      </c>
      <c r="F21" s="138">
        <f>102*(F17-F18)+F19+F20</f>
        <v>45.68</v>
      </c>
    </row>
    <row r="22" spans="1:6" ht="20.100000000000001" customHeight="1">
      <c r="A22" s="10" t="s">
        <v>299</v>
      </c>
      <c r="B22" s="4" t="s">
        <v>966</v>
      </c>
      <c r="C22" s="131" t="s">
        <v>967</v>
      </c>
      <c r="D22" s="5" t="s">
        <v>968</v>
      </c>
      <c r="E22" s="5" t="s">
        <v>111</v>
      </c>
      <c r="F22" s="23">
        <v>187</v>
      </c>
    </row>
    <row r="23" spans="1:6" ht="20.100000000000001" customHeight="1">
      <c r="A23" s="10" t="s">
        <v>300</v>
      </c>
      <c r="B23" s="4" t="s">
        <v>969</v>
      </c>
      <c r="C23" s="131" t="s">
        <v>970</v>
      </c>
      <c r="D23" s="5" t="s">
        <v>971</v>
      </c>
      <c r="E23" s="5" t="s">
        <v>972</v>
      </c>
      <c r="F23" s="139">
        <v>0.6</v>
      </c>
    </row>
    <row r="24" spans="1:6" ht="20.100000000000001" customHeight="1">
      <c r="A24" s="10" t="s">
        <v>301</v>
      </c>
      <c r="B24" s="4" t="s">
        <v>973</v>
      </c>
      <c r="C24" s="131" t="s">
        <v>970</v>
      </c>
      <c r="D24" s="5" t="s">
        <v>974</v>
      </c>
      <c r="E24" s="5" t="s">
        <v>975</v>
      </c>
      <c r="F24" s="139">
        <v>0.98</v>
      </c>
    </row>
    <row r="25" spans="1:6" ht="20.100000000000001" customHeight="1">
      <c r="A25" s="10" t="s">
        <v>302</v>
      </c>
      <c r="B25" s="4" t="s">
        <v>976</v>
      </c>
      <c r="C25" s="131" t="s">
        <v>970</v>
      </c>
      <c r="D25" s="5" t="s">
        <v>977</v>
      </c>
      <c r="E25" s="5" t="s">
        <v>978</v>
      </c>
      <c r="F25" s="139">
        <v>0.75</v>
      </c>
    </row>
    <row r="26" spans="1:6" ht="20.100000000000001" customHeight="1">
      <c r="A26" s="10" t="s">
        <v>303</v>
      </c>
      <c r="B26" s="6" t="s">
        <v>979</v>
      </c>
      <c r="C26" s="5" t="s">
        <v>970</v>
      </c>
      <c r="D26" s="5" t="s">
        <v>980</v>
      </c>
      <c r="E26" s="5" t="s">
        <v>981</v>
      </c>
      <c r="F26" s="139">
        <v>1.1499999999999999</v>
      </c>
    </row>
    <row r="27" spans="1:6" ht="20.100000000000001" customHeight="1">
      <c r="A27" s="10" t="s">
        <v>304</v>
      </c>
      <c r="B27" s="4" t="s">
        <v>982</v>
      </c>
      <c r="C27" s="131" t="s">
        <v>983</v>
      </c>
      <c r="D27" s="5" t="s">
        <v>984</v>
      </c>
      <c r="E27" s="129" t="s">
        <v>985</v>
      </c>
      <c r="F27" s="140">
        <f>F26*1000*9.8*F21*1.15*F22/3600/1000/F23/F24:F24/F25</f>
        <v>69.734608641975285</v>
      </c>
    </row>
    <row r="28" spans="1:6" ht="20.100000000000001" customHeight="1">
      <c r="A28" s="10" t="s">
        <v>305</v>
      </c>
      <c r="B28" s="131" t="s">
        <v>102</v>
      </c>
      <c r="C28" s="582"/>
      <c r="D28" s="582"/>
      <c r="E28" s="582"/>
      <c r="F28" s="582"/>
    </row>
    <row r="29" spans="1:6" ht="20.100000000000001" customHeight="1" thickBot="1">
      <c r="A29" s="2" t="s">
        <v>113</v>
      </c>
    </row>
    <row r="30" spans="1:6" ht="20.100000000000001" customHeight="1" thickTop="1">
      <c r="A30" s="10" t="s">
        <v>321</v>
      </c>
      <c r="B30" s="132" t="s">
        <v>986</v>
      </c>
      <c r="C30" s="132" t="s">
        <v>987</v>
      </c>
      <c r="D30" s="132" t="s">
        <v>991</v>
      </c>
      <c r="E30" s="132" t="s">
        <v>989</v>
      </c>
      <c r="F30" s="133">
        <v>0.1</v>
      </c>
    </row>
    <row r="31" spans="1:6" ht="20.100000000000001" customHeight="1">
      <c r="A31" s="10" t="s">
        <v>295</v>
      </c>
      <c r="B31" s="22" t="s">
        <v>990</v>
      </c>
      <c r="C31" s="22" t="s">
        <v>987</v>
      </c>
      <c r="D31" s="22" t="s">
        <v>1000</v>
      </c>
      <c r="E31" s="22" t="s">
        <v>989</v>
      </c>
      <c r="F31" s="134">
        <v>0.2</v>
      </c>
    </row>
    <row r="32" spans="1:6" ht="20.100000000000001" customHeight="1">
      <c r="A32" s="10" t="s">
        <v>296</v>
      </c>
      <c r="B32" s="22" t="s">
        <v>992</v>
      </c>
      <c r="C32" s="22" t="s">
        <v>993</v>
      </c>
      <c r="D32" s="130" t="s">
        <v>994</v>
      </c>
      <c r="E32" s="22" t="s">
        <v>989</v>
      </c>
      <c r="F32" s="134">
        <v>-4</v>
      </c>
    </row>
    <row r="33" spans="1:6" ht="20.100000000000001" customHeight="1">
      <c r="A33" s="10" t="s">
        <v>297</v>
      </c>
      <c r="B33" s="22" t="s">
        <v>995</v>
      </c>
      <c r="C33" s="22" t="s">
        <v>996</v>
      </c>
      <c r="D33" s="22" t="s">
        <v>997</v>
      </c>
      <c r="E33" s="131" t="s">
        <v>998</v>
      </c>
      <c r="F33" s="134">
        <v>5</v>
      </c>
    </row>
    <row r="34" spans="1:6" ht="20.100000000000001" customHeight="1">
      <c r="A34" s="10" t="s">
        <v>298</v>
      </c>
      <c r="B34" s="22" t="s">
        <v>400</v>
      </c>
      <c r="C34" s="22" t="s">
        <v>398</v>
      </c>
      <c r="D34" s="22" t="s">
        <v>401</v>
      </c>
      <c r="E34" s="131" t="s">
        <v>1001</v>
      </c>
      <c r="F34" s="135">
        <f>102*(F31-F30)+F32+F33</f>
        <v>11.200000000000001</v>
      </c>
    </row>
    <row r="35" spans="1:6" ht="20.100000000000001" customHeight="1">
      <c r="A35" s="10" t="s">
        <v>299</v>
      </c>
      <c r="B35" s="4" t="s">
        <v>966</v>
      </c>
      <c r="C35" s="131" t="s">
        <v>967</v>
      </c>
      <c r="D35" s="5" t="s">
        <v>968</v>
      </c>
      <c r="E35" s="5" t="s">
        <v>1002</v>
      </c>
      <c r="F35" s="136">
        <v>20</v>
      </c>
    </row>
    <row r="36" spans="1:6" ht="20.100000000000001" customHeight="1">
      <c r="A36" s="10" t="s">
        <v>300</v>
      </c>
      <c r="B36" s="4" t="s">
        <v>969</v>
      </c>
      <c r="C36" s="131" t="s">
        <v>970</v>
      </c>
      <c r="D36" s="5" t="s">
        <v>971</v>
      </c>
      <c r="E36" s="5" t="s">
        <v>972</v>
      </c>
      <c r="F36" s="136">
        <v>0.6</v>
      </c>
    </row>
    <row r="37" spans="1:6" ht="20.100000000000001" customHeight="1">
      <c r="A37" s="10" t="s">
        <v>301</v>
      </c>
      <c r="B37" s="4" t="s">
        <v>973</v>
      </c>
      <c r="C37" s="131" t="s">
        <v>970</v>
      </c>
      <c r="D37" s="5" t="s">
        <v>974</v>
      </c>
      <c r="E37" s="5" t="s">
        <v>975</v>
      </c>
      <c r="F37" s="136">
        <v>0.98</v>
      </c>
    </row>
    <row r="38" spans="1:6" ht="20.100000000000001" customHeight="1">
      <c r="A38" s="10" t="s">
        <v>302</v>
      </c>
      <c r="B38" s="4" t="s">
        <v>976</v>
      </c>
      <c r="C38" s="131" t="s">
        <v>970</v>
      </c>
      <c r="D38" s="5" t="s">
        <v>977</v>
      </c>
      <c r="E38" s="5" t="s">
        <v>978</v>
      </c>
      <c r="F38" s="136">
        <v>0.75</v>
      </c>
    </row>
    <row r="39" spans="1:6" ht="20.100000000000001" customHeight="1">
      <c r="A39" s="10" t="s">
        <v>303</v>
      </c>
      <c r="B39" s="6" t="s">
        <v>979</v>
      </c>
      <c r="C39" s="5" t="s">
        <v>970</v>
      </c>
      <c r="D39" s="5" t="s">
        <v>980</v>
      </c>
      <c r="E39" s="5" t="s">
        <v>981</v>
      </c>
      <c r="F39" s="136">
        <v>1.1499999999999999</v>
      </c>
    </row>
    <row r="40" spans="1:6" ht="20.100000000000001" customHeight="1">
      <c r="A40" s="10" t="s">
        <v>304</v>
      </c>
      <c r="B40" s="4" t="s">
        <v>982</v>
      </c>
      <c r="C40" s="131" t="s">
        <v>983</v>
      </c>
      <c r="D40" s="5" t="s">
        <v>984</v>
      </c>
      <c r="E40" s="129" t="s">
        <v>985</v>
      </c>
      <c r="F40" s="137">
        <f>F39*1000*9.8*F34*1.15*F35/3600/1000/F36/F37:F37/F38</f>
        <v>1.828641975308642</v>
      </c>
    </row>
    <row r="41" spans="1:6" ht="20.100000000000001" customHeight="1" thickBot="1">
      <c r="A41" s="10" t="s">
        <v>305</v>
      </c>
      <c r="B41" s="145" t="s">
        <v>405</v>
      </c>
      <c r="C41" s="582"/>
      <c r="D41" s="582"/>
      <c r="E41" s="582"/>
      <c r="F41" s="582"/>
    </row>
    <row r="42" spans="1:6" ht="20.100000000000001" customHeight="1" thickTop="1">
      <c r="A42" s="2" t="s">
        <v>1230</v>
      </c>
    </row>
    <row r="43" spans="1:6" ht="20.100000000000001" customHeight="1">
      <c r="A43" s="185" t="s">
        <v>321</v>
      </c>
      <c r="B43" s="29" t="s">
        <v>1159</v>
      </c>
      <c r="C43" s="29" t="s">
        <v>1160</v>
      </c>
      <c r="D43" s="29" t="s">
        <v>1208</v>
      </c>
      <c r="E43" s="22" t="s">
        <v>989</v>
      </c>
      <c r="F43" s="23">
        <v>125</v>
      </c>
    </row>
    <row r="44" spans="1:6" ht="20.100000000000001" customHeight="1">
      <c r="A44" s="185" t="s">
        <v>295</v>
      </c>
      <c r="B44" s="29" t="s">
        <v>1161</v>
      </c>
      <c r="C44" s="29" t="s">
        <v>1170</v>
      </c>
      <c r="D44" s="29" t="s">
        <v>1162</v>
      </c>
      <c r="E44" s="22" t="s">
        <v>989</v>
      </c>
      <c r="F44" s="23">
        <v>4.9000000000000004</v>
      </c>
    </row>
    <row r="45" spans="1:6" ht="20.100000000000001" customHeight="1">
      <c r="A45" s="185" t="s">
        <v>296</v>
      </c>
      <c r="B45" s="29" t="s">
        <v>1163</v>
      </c>
      <c r="C45" s="29" t="s">
        <v>1164</v>
      </c>
      <c r="D45" s="29" t="s">
        <v>1165</v>
      </c>
      <c r="E45" s="22" t="s">
        <v>989</v>
      </c>
      <c r="F45" s="23">
        <v>2343</v>
      </c>
    </row>
    <row r="46" spans="1:6" ht="20.100000000000001" customHeight="1">
      <c r="A46" s="185" t="s">
        <v>297</v>
      </c>
      <c r="B46" s="29" t="s">
        <v>1166</v>
      </c>
      <c r="C46" s="29" t="s">
        <v>99</v>
      </c>
      <c r="D46" s="29" t="s">
        <v>1167</v>
      </c>
      <c r="E46" s="22" t="s">
        <v>989</v>
      </c>
      <c r="F46" s="23">
        <v>20</v>
      </c>
    </row>
    <row r="47" spans="1:6" ht="20.100000000000001" customHeight="1">
      <c r="A47" s="185" t="s">
        <v>298</v>
      </c>
      <c r="B47" s="29" t="s">
        <v>1168</v>
      </c>
      <c r="C47" s="29" t="s">
        <v>99</v>
      </c>
      <c r="D47" s="29" t="s">
        <v>1169</v>
      </c>
      <c r="E47" s="29" t="s">
        <v>103</v>
      </c>
      <c r="F47" s="37">
        <f>T_P($F$44/1000)</f>
        <v>32.516383726204026</v>
      </c>
    </row>
    <row r="48" spans="1:6" ht="20.100000000000001" customHeight="1">
      <c r="A48" s="185" t="s">
        <v>299</v>
      </c>
      <c r="B48" s="29" t="s">
        <v>1171</v>
      </c>
      <c r="C48" s="29" t="s">
        <v>99</v>
      </c>
      <c r="D48" s="29" t="s">
        <v>1172</v>
      </c>
      <c r="E48" s="29" t="s">
        <v>1173</v>
      </c>
      <c r="F48" s="37">
        <v>1</v>
      </c>
    </row>
    <row r="49" spans="1:6" ht="20.100000000000001" customHeight="1">
      <c r="A49" s="185" t="s">
        <v>300</v>
      </c>
      <c r="B49" s="29" t="s">
        <v>1174</v>
      </c>
      <c r="C49" s="29" t="s">
        <v>99</v>
      </c>
      <c r="D49" s="29" t="s">
        <v>1175</v>
      </c>
      <c r="E49" s="186" t="s">
        <v>1176</v>
      </c>
      <c r="F49" s="37">
        <f>F47-F48</f>
        <v>31.516383726204026</v>
      </c>
    </row>
    <row r="50" spans="1:6" ht="20.100000000000001" customHeight="1">
      <c r="A50" s="185" t="s">
        <v>301</v>
      </c>
      <c r="B50" s="29" t="s">
        <v>1210</v>
      </c>
      <c r="C50" s="29" t="s">
        <v>105</v>
      </c>
      <c r="D50" s="29" t="s">
        <v>1177</v>
      </c>
      <c r="E50" s="29" t="s">
        <v>1178</v>
      </c>
      <c r="F50" s="37">
        <f>H_PT($F$44/1000,$F$49)</f>
        <v>132.08435132602122</v>
      </c>
    </row>
    <row r="51" spans="1:6" ht="20.100000000000001" customHeight="1">
      <c r="A51" s="185" t="s">
        <v>302</v>
      </c>
      <c r="B51" s="22"/>
      <c r="C51" s="29"/>
      <c r="D51" s="29" t="s">
        <v>1179</v>
      </c>
      <c r="E51" s="29" t="s">
        <v>1180</v>
      </c>
      <c r="F51" s="37">
        <v>0.8</v>
      </c>
    </row>
    <row r="52" spans="1:6" ht="20.100000000000001" customHeight="1">
      <c r="A52" s="185" t="s">
        <v>303</v>
      </c>
      <c r="B52" s="22"/>
      <c r="C52" s="29"/>
      <c r="D52" s="29" t="s">
        <v>1181</v>
      </c>
      <c r="E52" s="187" t="s">
        <v>1231</v>
      </c>
      <c r="F52" s="37">
        <v>0.96</v>
      </c>
    </row>
    <row r="53" spans="1:6" ht="20.100000000000001" customHeight="1">
      <c r="A53" s="185" t="s">
        <v>304</v>
      </c>
      <c r="B53" s="29" t="s">
        <v>1182</v>
      </c>
      <c r="C53" s="29"/>
      <c r="D53" s="36" t="s">
        <v>1228</v>
      </c>
      <c r="E53" s="36" t="s">
        <v>1229</v>
      </c>
      <c r="F53" s="37">
        <f>0.122*F51*F52*(1+0.15*F46)</f>
        <v>0.37478400000000001</v>
      </c>
    </row>
    <row r="54" spans="1:6" ht="20.100000000000001" customHeight="1">
      <c r="A54" s="185" t="s">
        <v>305</v>
      </c>
      <c r="B54" s="29" t="s">
        <v>1183</v>
      </c>
      <c r="C54" s="29" t="s">
        <v>133</v>
      </c>
      <c r="D54" s="29" t="s">
        <v>1184</v>
      </c>
      <c r="E54" s="29" t="s">
        <v>1185</v>
      </c>
      <c r="F54" s="37">
        <v>2.2000000000000002</v>
      </c>
    </row>
    <row r="55" spans="1:6" ht="20.100000000000001" customHeight="1">
      <c r="A55" s="185" t="s">
        <v>306</v>
      </c>
      <c r="B55" s="29" t="s">
        <v>1186</v>
      </c>
      <c r="C55" s="29" t="s">
        <v>138</v>
      </c>
      <c r="D55" s="29" t="s">
        <v>1187</v>
      </c>
      <c r="E55" s="29" t="s">
        <v>1188</v>
      </c>
      <c r="F55" s="188">
        <v>2.3E-2</v>
      </c>
    </row>
    <row r="56" spans="1:6" ht="20.100000000000001" customHeight="1">
      <c r="A56" s="185" t="s">
        <v>307</v>
      </c>
      <c r="B56" s="29" t="s">
        <v>1189</v>
      </c>
      <c r="C56" s="29"/>
      <c r="D56" s="29" t="s">
        <v>1190</v>
      </c>
      <c r="E56" s="29" t="s">
        <v>1191</v>
      </c>
      <c r="F56" s="37">
        <v>0.42</v>
      </c>
    </row>
    <row r="57" spans="1:6" ht="20.100000000000001" customHeight="1">
      <c r="A57" s="185" t="s">
        <v>308</v>
      </c>
      <c r="B57" s="29" t="s">
        <v>1192</v>
      </c>
      <c r="C57" s="29"/>
      <c r="D57" s="29" t="s">
        <v>1193</v>
      </c>
      <c r="E57" s="36" t="s">
        <v>1196</v>
      </c>
      <c r="F57" s="37">
        <f>(1.1*F54/(F55*1000)^(1/4))^(F53)</f>
        <v>1.0381483231243804</v>
      </c>
    </row>
    <row r="58" spans="1:6" ht="20.100000000000001" customHeight="1">
      <c r="A58" s="185" t="s">
        <v>309</v>
      </c>
      <c r="B58" s="29" t="s">
        <v>1194</v>
      </c>
      <c r="C58" s="29"/>
      <c r="D58" s="189" t="s">
        <v>1195</v>
      </c>
      <c r="E58" s="36" t="s">
        <v>1196</v>
      </c>
      <c r="F58" s="37">
        <f>1-F56*SQRT(F51*F52)/1000*(35-F46)^2</f>
        <v>0.91718434930521886</v>
      </c>
    </row>
    <row r="59" spans="1:6" ht="20.100000000000001" customHeight="1">
      <c r="A59" s="185" t="s">
        <v>311</v>
      </c>
      <c r="B59" s="29" t="s">
        <v>1197</v>
      </c>
      <c r="C59" s="29"/>
      <c r="D59" s="189" t="s">
        <v>1198</v>
      </c>
      <c r="E59" s="29" t="s">
        <v>1199</v>
      </c>
      <c r="F59" s="37">
        <v>1</v>
      </c>
    </row>
    <row r="60" spans="1:6" ht="20.100000000000001" customHeight="1">
      <c r="A60" s="185" t="s">
        <v>322</v>
      </c>
      <c r="B60" s="29" t="s">
        <v>1200</v>
      </c>
      <c r="C60" s="29"/>
      <c r="D60" s="29" t="s">
        <v>1201</v>
      </c>
      <c r="E60" s="29" t="s">
        <v>1202</v>
      </c>
      <c r="F60" s="37">
        <v>1</v>
      </c>
    </row>
    <row r="61" spans="1:6" ht="20.100000000000001" customHeight="1">
      <c r="A61" s="185" t="s">
        <v>323</v>
      </c>
      <c r="B61" s="29" t="s">
        <v>1203</v>
      </c>
      <c r="C61" s="29"/>
      <c r="D61" s="29" t="s">
        <v>1204</v>
      </c>
      <c r="E61" s="29"/>
      <c r="F61" s="37">
        <f>4.07*F51*F52*F57*F58*F59*F60</f>
        <v>2.9762655087394219</v>
      </c>
    </row>
    <row r="62" spans="1:6" ht="20.100000000000001" customHeight="1">
      <c r="A62" s="185" t="s">
        <v>324</v>
      </c>
      <c r="B62" s="29" t="s">
        <v>1205</v>
      </c>
      <c r="C62" s="29" t="s">
        <v>1206</v>
      </c>
      <c r="D62" s="29" t="s">
        <v>1207</v>
      </c>
      <c r="E62" s="29" t="s">
        <v>1209</v>
      </c>
      <c r="F62" s="37">
        <f>F43*(F45-F50)</f>
        <v>276364.45608424739</v>
      </c>
    </row>
    <row r="63" spans="1:6" ht="20.100000000000001" customHeight="1">
      <c r="A63" s="185" t="s">
        <v>312</v>
      </c>
      <c r="B63" s="29"/>
      <c r="C63" s="29"/>
      <c r="D63" s="29" t="s">
        <v>1211</v>
      </c>
      <c r="E63" s="36" t="s">
        <v>1212</v>
      </c>
      <c r="F63" s="37">
        <v>65</v>
      </c>
    </row>
    <row r="64" spans="1:6" ht="20.100000000000001" customHeight="1">
      <c r="A64" s="185" t="s">
        <v>313</v>
      </c>
      <c r="B64" s="29" t="s">
        <v>1214</v>
      </c>
      <c r="C64" s="29" t="s">
        <v>1215</v>
      </c>
      <c r="D64" s="29" t="s">
        <v>1213</v>
      </c>
      <c r="E64" s="36" t="s">
        <v>1216</v>
      </c>
      <c r="F64" s="37">
        <f>F63*F43</f>
        <v>8125</v>
      </c>
    </row>
    <row r="65" spans="1:6" ht="20.100000000000001" customHeight="1">
      <c r="A65" s="185" t="s">
        <v>314</v>
      </c>
      <c r="B65" s="29" t="s">
        <v>1217</v>
      </c>
      <c r="C65" s="29" t="s">
        <v>1218</v>
      </c>
      <c r="D65" s="29" t="s">
        <v>1220</v>
      </c>
      <c r="E65" s="36" t="s">
        <v>1219</v>
      </c>
      <c r="F65" s="37">
        <f>F62/F64/4.1868</f>
        <v>8.1241250842353594</v>
      </c>
    </row>
    <row r="66" spans="1:6" ht="20.100000000000001" customHeight="1">
      <c r="A66" s="185" t="s">
        <v>315</v>
      </c>
      <c r="B66" s="29" t="s">
        <v>1222</v>
      </c>
      <c r="C66" s="29" t="s">
        <v>1218</v>
      </c>
      <c r="D66" s="29" t="s">
        <v>1221</v>
      </c>
      <c r="E66" s="36"/>
      <c r="F66" s="37">
        <f>F46+F65</f>
        <v>28.124125084235359</v>
      </c>
    </row>
    <row r="67" spans="1:6" ht="20.100000000000001" customHeight="1">
      <c r="A67" s="185" t="s">
        <v>316</v>
      </c>
      <c r="B67" s="29" t="s">
        <v>1223</v>
      </c>
      <c r="C67" s="29" t="s">
        <v>1218</v>
      </c>
      <c r="D67" s="29" t="s">
        <v>1224</v>
      </c>
      <c r="E67" s="36"/>
      <c r="F67" s="37">
        <f>F65/LN((F47-F46)/(F47-F66))</f>
        <v>7.7579876901209115</v>
      </c>
    </row>
    <row r="68" spans="1:6" ht="20.100000000000001" customHeight="1">
      <c r="A68" s="185" t="s">
        <v>317</v>
      </c>
      <c r="B68" s="29" t="s">
        <v>1225</v>
      </c>
      <c r="C68" s="29" t="s">
        <v>1226</v>
      </c>
      <c r="D68" s="29" t="s">
        <v>1227</v>
      </c>
      <c r="E68" s="36"/>
      <c r="F68" s="190">
        <f>F62/F61/F67</f>
        <v>11969.098168704933</v>
      </c>
    </row>
    <row r="69" spans="1:6" ht="20.100000000000001" customHeight="1">
      <c r="A69" s="2" t="s">
        <v>1235</v>
      </c>
    </row>
    <row r="70" spans="1:6" ht="20.100000000000001" customHeight="1">
      <c r="A70" s="191" t="s">
        <v>321</v>
      </c>
      <c r="B70" s="29" t="s">
        <v>1159</v>
      </c>
      <c r="C70" s="29" t="s">
        <v>1160</v>
      </c>
      <c r="D70" s="29" t="s">
        <v>1208</v>
      </c>
      <c r="E70" s="22" t="s">
        <v>989</v>
      </c>
      <c r="F70" s="23">
        <v>125</v>
      </c>
    </row>
  </sheetData>
  <mergeCells count="7">
    <mergeCell ref="C28:F28"/>
    <mergeCell ref="C41:F41"/>
    <mergeCell ref="B14:B15"/>
    <mergeCell ref="A14:A15"/>
    <mergeCell ref="C14:D14"/>
    <mergeCell ref="C15:D15"/>
    <mergeCell ref="E14:F15"/>
  </mergeCells>
  <phoneticPr fontId="3" type="noConversion"/>
  <pageMargins left="0.75" right="0.75" top="1" bottom="1" header="0.5" footer="0.5"/>
  <pageSetup paperSize="9" orientation="portrait" horizontalDpi="96" verticalDpi="96" r:id="rId1"/>
  <headerFooter alignWithMargins="0"/>
  <legacyDrawing r:id="rId2"/>
  <oleObjects>
    <oleObject progId="Equation.DSMT4" shapeId="16385" r:id="rId3"/>
    <oleObject progId="Equation.DSMT4" shapeId="16386" r:id="rId4"/>
    <oleObject progId="Equation.DSMT4" shapeId="16387" r:id="rId5"/>
    <oleObject progId="Equation.DSMT4" shapeId="16388" r:id="rId6"/>
    <oleObject progId="Equation.DSMT4" shapeId="16389" r:id="rId7"/>
    <oleObject progId="Equation.DSMT4" shapeId="16390" r:id="rId8"/>
    <oleObject progId="Equation.DSMT4" shapeId="16391" r:id="rId9"/>
  </oleObjects>
</worksheet>
</file>

<file path=xl/worksheets/sheet12.xml><?xml version="1.0" encoding="utf-8"?>
<worksheet xmlns="http://schemas.openxmlformats.org/spreadsheetml/2006/main" xmlns:r="http://schemas.openxmlformats.org/officeDocument/2006/relationships">
  <dimension ref="A2:S66"/>
  <sheetViews>
    <sheetView workbookViewId="0">
      <selection activeCell="J16" sqref="J16"/>
    </sheetView>
  </sheetViews>
  <sheetFormatPr defaultRowHeight="14.25"/>
  <sheetData>
    <row r="2" spans="2:19">
      <c r="B2" t="s">
        <v>1931</v>
      </c>
    </row>
    <row r="3" spans="2:19">
      <c r="B3" s="395"/>
      <c r="C3" s="395" t="s">
        <v>1932</v>
      </c>
      <c r="D3" s="395" t="s">
        <v>1933</v>
      </c>
      <c r="E3" s="395" t="s">
        <v>1934</v>
      </c>
      <c r="F3" s="395" t="s">
        <v>1935</v>
      </c>
      <c r="G3" s="395" t="s">
        <v>1936</v>
      </c>
      <c r="H3" s="395" t="s">
        <v>1937</v>
      </c>
      <c r="I3" s="395" t="s">
        <v>1883</v>
      </c>
      <c r="J3" s="395" t="s">
        <v>1938</v>
      </c>
      <c r="K3" s="395" t="s">
        <v>1939</v>
      </c>
      <c r="L3" s="395" t="s">
        <v>1940</v>
      </c>
      <c r="M3" s="395" t="s">
        <v>467</v>
      </c>
      <c r="N3" s="395" t="s">
        <v>1941</v>
      </c>
      <c r="O3" s="395" t="s">
        <v>1942</v>
      </c>
      <c r="P3" s="395" t="s">
        <v>453</v>
      </c>
      <c r="Q3" s="395" t="s">
        <v>1885</v>
      </c>
      <c r="R3" s="395" t="s">
        <v>1943</v>
      </c>
      <c r="S3" s="395" t="s">
        <v>1944</v>
      </c>
    </row>
    <row r="4" spans="2:19">
      <c r="B4" s="396">
        <v>0</v>
      </c>
      <c r="C4" s="395">
        <v>1.298</v>
      </c>
      <c r="D4" s="395">
        <v>1.306</v>
      </c>
      <c r="E4" s="395">
        <v>1.482</v>
      </c>
      <c r="F4" s="395">
        <v>1.599</v>
      </c>
      <c r="G4" s="395">
        <v>1.302</v>
      </c>
      <c r="H4" s="395">
        <v>1.298</v>
      </c>
      <c r="I4" s="395">
        <v>1.302</v>
      </c>
      <c r="J4" s="395">
        <v>1.7789999999999999</v>
      </c>
      <c r="K4" s="395">
        <v>1.5449999999999999</v>
      </c>
      <c r="L4" s="395">
        <v>1.909</v>
      </c>
      <c r="M4" s="395">
        <v>1.8879999999999999</v>
      </c>
      <c r="N4" s="395">
        <v>2.2440000000000002</v>
      </c>
      <c r="O4" s="395">
        <v>1.591</v>
      </c>
      <c r="P4" s="395">
        <v>1.5569999999999999</v>
      </c>
      <c r="Q4" s="395">
        <v>2.96</v>
      </c>
      <c r="R4" s="395">
        <v>3.71</v>
      </c>
      <c r="S4" s="395">
        <v>3.266</v>
      </c>
    </row>
    <row r="5" spans="2:19">
      <c r="B5" s="396">
        <v>100</v>
      </c>
      <c r="C5" s="395">
        <v>1.302</v>
      </c>
      <c r="D5" s="395">
        <v>1.3149999999999999</v>
      </c>
      <c r="E5" s="395">
        <v>1.4990000000000001</v>
      </c>
      <c r="F5" s="395">
        <v>1.7</v>
      </c>
      <c r="G5" s="395">
        <v>1.306</v>
      </c>
      <c r="H5" s="395">
        <v>1.298</v>
      </c>
      <c r="I5" s="395">
        <v>1.302</v>
      </c>
      <c r="J5" s="395">
        <v>1.863</v>
      </c>
      <c r="K5" s="395">
        <v>1.62</v>
      </c>
      <c r="L5" s="395">
        <v>2.0720000000000001</v>
      </c>
      <c r="M5" s="395">
        <v>2.1230000000000002</v>
      </c>
      <c r="N5" s="395">
        <v>2.4790000000000001</v>
      </c>
      <c r="O5" s="395">
        <v>1.645</v>
      </c>
      <c r="P5" s="395">
        <v>1.5660000000000001</v>
      </c>
      <c r="Q5" s="395">
        <v>3.3580000000000001</v>
      </c>
      <c r="R5" s="395">
        <v>4.2329999999999997</v>
      </c>
      <c r="S5" s="395">
        <v>3.9769999999999999</v>
      </c>
    </row>
    <row r="6" spans="2:19">
      <c r="B6" s="396">
        <v>200</v>
      </c>
      <c r="C6" s="395">
        <v>1.302</v>
      </c>
      <c r="D6" s="395">
        <v>1.3360000000000001</v>
      </c>
      <c r="E6" s="395">
        <v>1.516</v>
      </c>
      <c r="F6" s="395">
        <v>1.796</v>
      </c>
      <c r="G6" s="395">
        <v>1.31</v>
      </c>
      <c r="H6" s="395">
        <v>1.302</v>
      </c>
      <c r="I6" s="395">
        <v>1.31</v>
      </c>
      <c r="J6" s="395">
        <v>1.9430000000000001</v>
      </c>
      <c r="K6" s="395">
        <v>1.758</v>
      </c>
      <c r="L6" s="395">
        <v>2.218</v>
      </c>
      <c r="M6" s="395">
        <v>2.3450000000000002</v>
      </c>
      <c r="N6" s="395">
        <v>2.7629999999999999</v>
      </c>
      <c r="O6" s="395">
        <v>1.7</v>
      </c>
      <c r="P6" s="395">
        <v>1.583</v>
      </c>
      <c r="Q6" s="395">
        <v>3.76</v>
      </c>
      <c r="R6" s="395">
        <v>4.7519999999999998</v>
      </c>
      <c r="S6" s="395">
        <v>4.6050000000000004</v>
      </c>
    </row>
    <row r="7" spans="2:19">
      <c r="B7" s="396">
        <v>300</v>
      </c>
      <c r="C7" s="395">
        <v>1.31</v>
      </c>
      <c r="D7" s="395">
        <v>1.357</v>
      </c>
      <c r="E7" s="395">
        <v>1.5369999999999999</v>
      </c>
      <c r="F7" s="395">
        <v>1.8759999999999999</v>
      </c>
      <c r="G7" s="395">
        <v>1.319</v>
      </c>
      <c r="H7" s="395">
        <v>1.302</v>
      </c>
      <c r="I7" s="395">
        <v>1.319</v>
      </c>
      <c r="J7" s="395">
        <v>2.0099999999999998</v>
      </c>
      <c r="K7" s="395">
        <v>1.8919999999999999</v>
      </c>
      <c r="L7" s="395">
        <v>2.3069999999999999</v>
      </c>
      <c r="M7" s="395">
        <v>2.5499999999999998</v>
      </c>
      <c r="N7" s="395">
        <v>2.9729999999999999</v>
      </c>
      <c r="O7" s="395">
        <v>1.7789999999999999</v>
      </c>
      <c r="P7" s="395">
        <v>1.6080000000000001</v>
      </c>
      <c r="Q7" s="395">
        <v>4.157</v>
      </c>
      <c r="R7" s="395">
        <v>5.2750000000000004</v>
      </c>
      <c r="S7" s="395">
        <v>5.1920000000000002</v>
      </c>
    </row>
    <row r="8" spans="2:19">
      <c r="B8" s="396">
        <v>400</v>
      </c>
      <c r="C8" s="395">
        <v>1.319</v>
      </c>
      <c r="D8" s="395">
        <v>1.377</v>
      </c>
      <c r="E8" s="395">
        <v>1.5569999999999999</v>
      </c>
      <c r="F8" s="395">
        <v>1.9430000000000001</v>
      </c>
      <c r="G8" s="395">
        <v>1.331</v>
      </c>
      <c r="H8" s="395">
        <v>1.306</v>
      </c>
      <c r="I8" s="395">
        <v>1.331</v>
      </c>
      <c r="J8" s="395">
        <v>2.0720000000000001</v>
      </c>
      <c r="K8" s="395">
        <v>2.0179999999999998</v>
      </c>
      <c r="L8" s="395">
        <v>2.3740000000000001</v>
      </c>
      <c r="M8" s="395">
        <v>2.742</v>
      </c>
      <c r="N8" s="395">
        <v>3.3079999999999998</v>
      </c>
      <c r="O8" s="395">
        <v>1.8380000000000001</v>
      </c>
      <c r="P8" s="395">
        <v>1.641</v>
      </c>
      <c r="Q8" s="395">
        <v>4.5590000000000002</v>
      </c>
      <c r="R8" s="395">
        <v>5.7949999999999999</v>
      </c>
      <c r="S8" s="395">
        <v>5.694</v>
      </c>
    </row>
    <row r="9" spans="2:19">
      <c r="B9" s="396">
        <v>500</v>
      </c>
      <c r="C9" s="395">
        <v>1.331</v>
      </c>
      <c r="D9" s="395">
        <v>1.3939999999999999</v>
      </c>
      <c r="E9" s="395">
        <v>1.583</v>
      </c>
      <c r="F9" s="395">
        <v>2.0009999999999999</v>
      </c>
      <c r="G9" s="395">
        <v>1.3440000000000001</v>
      </c>
      <c r="H9" s="395">
        <v>1.306</v>
      </c>
      <c r="I9" s="395">
        <v>1.3440000000000001</v>
      </c>
      <c r="J9" s="395">
        <v>2.1230000000000002</v>
      </c>
      <c r="K9" s="395">
        <v>2.1402999999999999</v>
      </c>
      <c r="L9" s="395">
        <v>2.4449999999999998</v>
      </c>
      <c r="M9" s="395">
        <v>2.9140000000000001</v>
      </c>
      <c r="N9" s="395">
        <v>3.492</v>
      </c>
      <c r="O9" s="395">
        <v>1.897</v>
      </c>
      <c r="P9" s="395">
        <v>1.6830000000000001</v>
      </c>
      <c r="Q9" s="395">
        <v>4.9569999999999999</v>
      </c>
      <c r="R9" s="395">
        <v>6.3179999999999996</v>
      </c>
      <c r="S9" s="395">
        <v>6.1550000000000002</v>
      </c>
    </row>
    <row r="10" spans="2:19">
      <c r="B10" s="396">
        <v>600</v>
      </c>
      <c r="C10" s="395">
        <v>1.3440000000000001</v>
      </c>
      <c r="D10" s="395">
        <v>1.411</v>
      </c>
      <c r="E10" s="395">
        <v>1.6080000000000001</v>
      </c>
      <c r="F10" s="395">
        <v>2.056</v>
      </c>
      <c r="G10" s="395">
        <v>1.357</v>
      </c>
      <c r="H10" s="395">
        <v>1.31</v>
      </c>
      <c r="I10" s="395">
        <v>1.361</v>
      </c>
      <c r="J10" s="395">
        <v>2.169</v>
      </c>
      <c r="K10" s="395">
        <v>2.2519999999999998</v>
      </c>
      <c r="L10" s="395">
        <v>2.516</v>
      </c>
      <c r="M10" s="395">
        <v>3.1059999999999999</v>
      </c>
      <c r="N10" s="395" t="s">
        <v>1945</v>
      </c>
      <c r="O10" s="395">
        <v>1.964</v>
      </c>
      <c r="P10" s="395">
        <v>1.7210000000000001</v>
      </c>
      <c r="Q10" s="395">
        <v>5.359</v>
      </c>
      <c r="R10" s="395">
        <v>6.8369999999999997</v>
      </c>
      <c r="S10" s="395">
        <v>6.5309999999999997</v>
      </c>
    </row>
    <row r="11" spans="2:19">
      <c r="B11" s="396">
        <v>700</v>
      </c>
      <c r="C11" s="395">
        <v>1.357</v>
      </c>
      <c r="D11" s="395">
        <v>1.4279999999999999</v>
      </c>
      <c r="E11" s="395">
        <v>1.633</v>
      </c>
      <c r="F11" s="395">
        <v>2.1019999999999999</v>
      </c>
      <c r="G11" s="395">
        <v>1.369</v>
      </c>
      <c r="H11" s="395">
        <v>1.31</v>
      </c>
      <c r="I11" s="395">
        <v>1.373</v>
      </c>
      <c r="J11" s="395">
        <v>2.206</v>
      </c>
      <c r="K11" s="395">
        <v>2.3610000000000002</v>
      </c>
      <c r="L11" s="395">
        <v>2.5750000000000002</v>
      </c>
      <c r="M11" s="395">
        <v>3.19</v>
      </c>
      <c r="N11" s="395" t="s">
        <v>1945</v>
      </c>
      <c r="O11" s="395">
        <v>2.0259999999999998</v>
      </c>
      <c r="P11" s="395">
        <v>1.754</v>
      </c>
      <c r="Q11" s="395">
        <v>5.7569999999999997</v>
      </c>
      <c r="R11" s="395">
        <v>7.36</v>
      </c>
      <c r="S11" s="395">
        <v>6.9080000000000004</v>
      </c>
    </row>
    <row r="12" spans="2:19">
      <c r="B12" s="396">
        <v>800</v>
      </c>
      <c r="C12" s="395">
        <v>1.369</v>
      </c>
      <c r="D12" s="395">
        <v>1.44</v>
      </c>
      <c r="E12" s="395">
        <v>1.6579999999999999</v>
      </c>
      <c r="F12" s="395">
        <v>2.1440000000000001</v>
      </c>
      <c r="G12" s="395">
        <v>1.3819999999999999</v>
      </c>
      <c r="H12" s="395">
        <v>1.319</v>
      </c>
      <c r="I12" s="395">
        <v>1.3939999999999999</v>
      </c>
      <c r="J12" s="395">
        <v>2.2400000000000002</v>
      </c>
      <c r="K12" s="395">
        <v>2.4660000000000002</v>
      </c>
      <c r="L12" s="395">
        <v>2.6379999999999999</v>
      </c>
      <c r="M12" s="395">
        <v>3.3490000000000002</v>
      </c>
      <c r="N12" s="395" t="s">
        <v>1945</v>
      </c>
      <c r="O12" s="395">
        <v>2.089</v>
      </c>
      <c r="P12" s="395">
        <v>1.792</v>
      </c>
      <c r="Q12" s="395">
        <v>6.1589999999999998</v>
      </c>
      <c r="R12" s="395">
        <v>7.88</v>
      </c>
      <c r="S12" s="395">
        <v>7.2009999999999996</v>
      </c>
    </row>
    <row r="13" spans="2:19">
      <c r="B13" s="396">
        <v>900</v>
      </c>
      <c r="C13" s="395">
        <v>1.3819999999999999</v>
      </c>
      <c r="D13" s="395">
        <v>1.4570000000000001</v>
      </c>
      <c r="E13" s="395">
        <v>1.6830000000000001</v>
      </c>
      <c r="F13" s="395">
        <v>2.181</v>
      </c>
      <c r="G13" s="395">
        <v>1.3939999999999999</v>
      </c>
      <c r="H13" s="395">
        <v>1.323</v>
      </c>
      <c r="I13" s="395">
        <v>1.403</v>
      </c>
      <c r="J13" s="395">
        <v>2.2730000000000001</v>
      </c>
      <c r="K13" s="395">
        <v>2.5619999999999998</v>
      </c>
      <c r="L13" s="395">
        <v>2.68</v>
      </c>
      <c r="M13" s="395">
        <v>3.4460000000000002</v>
      </c>
      <c r="N13" s="395" t="s">
        <v>1945</v>
      </c>
      <c r="O13" s="395">
        <v>2.1520000000000001</v>
      </c>
      <c r="P13" s="395">
        <v>1.825</v>
      </c>
      <c r="Q13" s="395">
        <v>6.5570000000000004</v>
      </c>
      <c r="R13" s="395">
        <v>8.4030000000000005</v>
      </c>
      <c r="S13" s="395">
        <v>7.4969999999999999</v>
      </c>
    </row>
    <row r="14" spans="2:19">
      <c r="B14" s="396">
        <v>1000</v>
      </c>
      <c r="C14" s="395">
        <v>1.3939999999999999</v>
      </c>
      <c r="D14" s="395">
        <v>1.4650000000000001</v>
      </c>
      <c r="E14" s="395">
        <v>1.712</v>
      </c>
      <c r="F14" s="395">
        <v>2.2189999999999999</v>
      </c>
      <c r="G14" s="395">
        <v>1.407</v>
      </c>
      <c r="H14" s="395">
        <v>1.327</v>
      </c>
      <c r="I14" s="395">
        <v>1.415</v>
      </c>
      <c r="J14" s="395">
        <v>2.294</v>
      </c>
      <c r="K14" s="395">
        <v>2.6539999999999999</v>
      </c>
      <c r="L14" s="395">
        <v>2.742</v>
      </c>
      <c r="M14" s="395">
        <v>3.5590000000000002</v>
      </c>
      <c r="N14" s="395" t="s">
        <v>1945</v>
      </c>
      <c r="O14" s="395">
        <v>2.2189999999999999</v>
      </c>
      <c r="P14" s="395">
        <v>1.859</v>
      </c>
      <c r="Q14" s="395">
        <v>6.9580000000000002</v>
      </c>
      <c r="R14" s="395">
        <v>8.9220000000000006</v>
      </c>
      <c r="S14" s="395">
        <v>7.7869999999999999</v>
      </c>
    </row>
    <row r="15" spans="2:19">
      <c r="B15" s="396">
        <v>1100</v>
      </c>
      <c r="C15" s="395">
        <v>1.407</v>
      </c>
      <c r="D15" s="395">
        <v>1.478</v>
      </c>
      <c r="E15" s="395">
        <v>1.738</v>
      </c>
      <c r="F15" s="395">
        <v>2.2480000000000002</v>
      </c>
      <c r="G15" s="395">
        <v>1.419</v>
      </c>
      <c r="H15" s="395">
        <v>1.3360000000000001</v>
      </c>
      <c r="I15" s="395">
        <v>1.4279999999999999</v>
      </c>
      <c r="J15" s="395">
        <v>2.319</v>
      </c>
      <c r="K15" s="395" t="s">
        <v>1945</v>
      </c>
      <c r="L15" s="395" t="s">
        <v>1945</v>
      </c>
      <c r="M15" s="395" t="s">
        <v>1945</v>
      </c>
      <c r="N15" s="395" t="s">
        <v>1946</v>
      </c>
      <c r="O15" s="395" t="s">
        <v>1945</v>
      </c>
      <c r="P15" s="395" t="s">
        <v>1945</v>
      </c>
      <c r="Q15" s="395" t="s">
        <v>1945</v>
      </c>
      <c r="R15" s="395" t="s">
        <v>1945</v>
      </c>
      <c r="S15" s="395" t="s">
        <v>1946</v>
      </c>
    </row>
    <row r="16" spans="2:19">
      <c r="B16" s="396">
        <v>1200</v>
      </c>
      <c r="C16" s="395">
        <v>1.415</v>
      </c>
      <c r="D16" s="395">
        <v>1.486</v>
      </c>
      <c r="E16" s="395">
        <v>1.7629999999999999</v>
      </c>
      <c r="F16" s="395">
        <v>2.2730000000000001</v>
      </c>
      <c r="G16" s="395">
        <v>1.4279999999999999</v>
      </c>
      <c r="H16" s="395">
        <v>1.3440000000000001</v>
      </c>
      <c r="I16" s="395">
        <v>1.44</v>
      </c>
      <c r="J16" s="395">
        <v>2.34</v>
      </c>
      <c r="K16" s="395" t="s">
        <v>1945</v>
      </c>
      <c r="L16" s="395" t="s">
        <v>1945</v>
      </c>
      <c r="M16" s="395" t="s">
        <v>1945</v>
      </c>
      <c r="N16" s="395" t="s">
        <v>1945</v>
      </c>
      <c r="O16" s="395" t="s">
        <v>1945</v>
      </c>
      <c r="P16" s="395" t="s">
        <v>1945</v>
      </c>
      <c r="Q16" s="395" t="s">
        <v>1945</v>
      </c>
      <c r="R16" s="395" t="s">
        <v>1945</v>
      </c>
      <c r="S16" s="395" t="s">
        <v>1946</v>
      </c>
    </row>
    <row r="17" spans="1:19">
      <c r="B17" s="396">
        <v>1300</v>
      </c>
      <c r="C17" s="395">
        <v>1.4252</v>
      </c>
      <c r="D17" s="395">
        <v>1.5105999999999999</v>
      </c>
      <c r="E17" s="395">
        <v>1.8028</v>
      </c>
      <c r="F17" s="395">
        <v>2.2898000000000001</v>
      </c>
      <c r="G17" s="395">
        <v>1.4724999999999999</v>
      </c>
    </row>
    <row r="18" spans="1:19">
      <c r="B18" s="396">
        <v>1400</v>
      </c>
      <c r="C18" s="395">
        <v>1.4348000000000001</v>
      </c>
      <c r="D18" s="395">
        <v>1.5202</v>
      </c>
      <c r="E18" s="395">
        <v>1.8280000000000001</v>
      </c>
      <c r="F18" s="395">
        <v>2.3136000000000001</v>
      </c>
      <c r="G18" s="395">
        <v>1.4830000000000001</v>
      </c>
    </row>
    <row r="19" spans="1:19">
      <c r="B19" s="396">
        <v>1500</v>
      </c>
      <c r="C19" s="395">
        <v>1.444</v>
      </c>
      <c r="D19" s="395">
        <v>1.524</v>
      </c>
      <c r="E19" s="395">
        <v>1.8527</v>
      </c>
      <c r="F19" s="395">
        <v>2.3353999999999999</v>
      </c>
      <c r="G19" s="395">
        <v>1.4925999999999999</v>
      </c>
    </row>
    <row r="20" spans="1:19">
      <c r="B20" s="396">
        <v>1600</v>
      </c>
      <c r="C20" s="395">
        <v>1.4528000000000001</v>
      </c>
      <c r="D20" s="395">
        <v>1.5378000000000001</v>
      </c>
      <c r="E20" s="395">
        <v>1.8761000000000001</v>
      </c>
      <c r="F20" s="395">
        <v>2.3555000000000001</v>
      </c>
      <c r="G20" s="395">
        <v>1.5018</v>
      </c>
    </row>
    <row r="21" spans="1:19">
      <c r="B21" s="396">
        <v>1700</v>
      </c>
      <c r="C21" s="395">
        <v>1.4612000000000001</v>
      </c>
      <c r="D21" s="395">
        <v>1.5462</v>
      </c>
      <c r="E21" s="395">
        <v>1.8996</v>
      </c>
      <c r="F21" s="395">
        <v>2.3742999999999999</v>
      </c>
      <c r="G21" s="395">
        <v>1.5102</v>
      </c>
    </row>
    <row r="22" spans="1:19">
      <c r="B22" s="396">
        <v>1800</v>
      </c>
      <c r="C22" s="395">
        <v>1.4686999999999999</v>
      </c>
      <c r="D22" s="395">
        <v>1.5541</v>
      </c>
      <c r="E22" s="395">
        <v>1.9213</v>
      </c>
      <c r="F22" s="395">
        <v>2.3915000000000002</v>
      </c>
      <c r="G22" s="395">
        <v>1.5177</v>
      </c>
    </row>
    <row r="23" spans="1:19">
      <c r="B23" s="396">
        <v>1900</v>
      </c>
      <c r="C23" s="395">
        <v>1.4759</v>
      </c>
      <c r="D23" s="395">
        <v>1.5617000000000001</v>
      </c>
      <c r="E23" s="395">
        <v>1.9422999999999999</v>
      </c>
      <c r="F23" s="395">
        <v>2.4074</v>
      </c>
      <c r="G23" s="395">
        <v>1.5257000000000001</v>
      </c>
    </row>
    <row r="24" spans="1:19">
      <c r="B24" s="396">
        <v>2000</v>
      </c>
      <c r="C24" s="395">
        <v>1.4824999999999999</v>
      </c>
      <c r="D24" s="395">
        <v>1.5691999999999999</v>
      </c>
      <c r="E24" s="395">
        <v>1.9628000000000001</v>
      </c>
      <c r="F24" s="395">
        <v>2.4220999999999999</v>
      </c>
      <c r="G24" s="395">
        <v>1.5327999999999999</v>
      </c>
    </row>
    <row r="25" spans="1:19">
      <c r="B25" s="396">
        <v>2100</v>
      </c>
      <c r="C25" s="395">
        <v>1.4893000000000001</v>
      </c>
      <c r="D25" s="395">
        <v>1.5759000000000001</v>
      </c>
      <c r="E25" s="395">
        <v>1.9824999999999999</v>
      </c>
      <c r="F25" s="395">
        <v>2.4359000000000002</v>
      </c>
      <c r="G25" s="395">
        <v>1.5399</v>
      </c>
    </row>
    <row r="26" spans="1:19">
      <c r="B26" s="396">
        <v>2200</v>
      </c>
      <c r="C26" s="395">
        <v>1.4951000000000001</v>
      </c>
      <c r="D26" s="395">
        <v>1.583</v>
      </c>
      <c r="E26" s="395">
        <v>2.0009000000000001</v>
      </c>
      <c r="F26" s="395">
        <v>2.4483999999999999</v>
      </c>
      <c r="G26" s="395">
        <v>1.5462</v>
      </c>
    </row>
    <row r="27" spans="1:19">
      <c r="B27" s="396">
        <v>2300</v>
      </c>
      <c r="C27" s="395">
        <v>1.5009999999999999</v>
      </c>
      <c r="D27" s="395">
        <v>1.5896999999999999</v>
      </c>
      <c r="E27" s="395">
        <v>2.0188999999999999</v>
      </c>
      <c r="F27" s="395">
        <v>2.4601999999999999</v>
      </c>
      <c r="G27" s="395">
        <v>1.5525</v>
      </c>
    </row>
    <row r="28" spans="1:19">
      <c r="B28" s="396">
        <v>2400</v>
      </c>
      <c r="C28" s="395">
        <v>1.5064</v>
      </c>
      <c r="D28" s="395">
        <v>1.5964</v>
      </c>
      <c r="E28" s="395">
        <v>2.0364</v>
      </c>
      <c r="F28" s="395">
        <v>2.4710000000000001</v>
      </c>
      <c r="G28" s="395">
        <v>1.5583</v>
      </c>
    </row>
    <row r="29" spans="1:19">
      <c r="B29" s="396">
        <v>2500</v>
      </c>
      <c r="C29" s="395">
        <v>1.5114000000000001</v>
      </c>
      <c r="D29" s="395">
        <v>1.6027</v>
      </c>
      <c r="E29" s="395">
        <v>2.0528</v>
      </c>
      <c r="F29" s="395">
        <v>2.4811000000000001</v>
      </c>
      <c r="G29" s="395">
        <v>1.5638000000000001</v>
      </c>
    </row>
    <row r="31" spans="1:19">
      <c r="B31" s="15"/>
      <c r="C31" s="395" t="s">
        <v>1932</v>
      </c>
      <c r="D31" s="395" t="s">
        <v>1933</v>
      </c>
      <c r="E31" s="395" t="s">
        <v>1934</v>
      </c>
      <c r="F31" s="395" t="s">
        <v>1935</v>
      </c>
      <c r="G31" s="395" t="s">
        <v>1936</v>
      </c>
      <c r="H31" s="395" t="s">
        <v>1937</v>
      </c>
      <c r="I31" s="395" t="s">
        <v>1883</v>
      </c>
      <c r="J31" s="395" t="s">
        <v>1938</v>
      </c>
      <c r="K31" s="395" t="s">
        <v>1939</v>
      </c>
      <c r="L31" s="395" t="s">
        <v>1940</v>
      </c>
      <c r="M31" s="395" t="s">
        <v>467</v>
      </c>
      <c r="N31" s="395" t="s">
        <v>1941</v>
      </c>
      <c r="O31" s="395" t="s">
        <v>1942</v>
      </c>
      <c r="P31" s="395" t="s">
        <v>453</v>
      </c>
      <c r="Q31" s="395" t="s">
        <v>1885</v>
      </c>
      <c r="R31" s="395" t="s">
        <v>1943</v>
      </c>
      <c r="S31" s="395" t="s">
        <v>1944</v>
      </c>
    </row>
    <row r="32" spans="1:19">
      <c r="A32" s="528" t="s">
        <v>1266</v>
      </c>
      <c r="B32" s="528"/>
      <c r="C32" s="15" t="e">
        <f>#REF!</f>
        <v>#REF!</v>
      </c>
      <c r="D32" s="15" t="e">
        <f>#REF!</f>
        <v>#REF!</v>
      </c>
      <c r="E32" s="15" t="e">
        <f>#REF!</f>
        <v>#REF!</v>
      </c>
      <c r="F32" s="15" t="e">
        <f>#REF!</f>
        <v>#REF!</v>
      </c>
      <c r="G32" s="15" t="e">
        <f>#REF!</f>
        <v>#REF!</v>
      </c>
      <c r="H32" s="15" t="e">
        <f>#REF!</f>
        <v>#REF!</v>
      </c>
      <c r="I32" s="15" t="e">
        <f>#REF!</f>
        <v>#REF!</v>
      </c>
      <c r="J32" s="15" t="e">
        <f>#REF!</f>
        <v>#REF!</v>
      </c>
      <c r="K32" s="15" t="e">
        <f>#REF!</f>
        <v>#REF!</v>
      </c>
      <c r="L32" s="15" t="e">
        <f>#REF!</f>
        <v>#REF!</v>
      </c>
      <c r="M32" s="15" t="e">
        <f>#REF!</f>
        <v>#REF!</v>
      </c>
      <c r="N32" s="15" t="e">
        <f>#REF!</f>
        <v>#REF!</v>
      </c>
      <c r="O32" s="15" t="e">
        <f>#REF!</f>
        <v>#REF!</v>
      </c>
      <c r="P32" s="15" t="e">
        <f>#REF!</f>
        <v>#REF!</v>
      </c>
      <c r="Q32" s="15" t="e">
        <f>#REF!</f>
        <v>#REF!</v>
      </c>
      <c r="R32" s="15" t="e">
        <f>#REF!</f>
        <v>#REF!</v>
      </c>
      <c r="S32" s="15" t="e">
        <f>#REF!</f>
        <v>#REF!</v>
      </c>
    </row>
    <row r="33" spans="1:19">
      <c r="A33" s="528" t="s">
        <v>1947</v>
      </c>
      <c r="B33" s="528"/>
      <c r="C33" s="15" t="e">
        <f xml:space="preserve"> ROUND( -7.93343651415E-19*C32^6 + 2.91731165533734E-15*C32^5 - 4.02975409956663E-12*C32^4 + 2.48280321692509E-09*C32^3 - 5.44413887526574E-07*C32^2 + 0.0000635891388185428*C32^1 + 1.29816634913914,3)</f>
        <v>#REF!</v>
      </c>
      <c r="D33" t="e">
        <f xml:space="preserve"> ROUND(6.72944613986E-19*D32^6 - 2.72708779067267E-15*D32^5 + 4.29793964607051E-12*D32^4 - 3.31746577474437E-09*D32^3 + 1.23088052650377E-06*D32^2 + 3.99464035183428E-06*D32^1 + 1.30583293641888,3)</f>
        <v>#REF!</v>
      </c>
      <c r="E33" t="e">
        <f>ROUND( -5.82645338212E-19*E32^6 + 2.09658052990212E-15*E32^5 - 2.81921455318941E-12*E32^4 + 1.68925704544312E-09*E32^3 - 3.47440246128983E-07*E32^2 + 0.000192491139983986*E32^1 + 1.48194701121338,3)</f>
        <v>#REF!</v>
      </c>
      <c r="F33" t="e">
        <f>ROUND( 4.92346059307E-19*F32^6 - 2.02602801657489E-15*F32^5 + 3.02412445789718E-12 *F32^4 - 1.79491125391548E-09*F32^3 - 1.33286886860873E-07*F32^2 + 0.00105705103742082*F32^1 + 1.59861919507273,3)</f>
        <v>#REF!</v>
      </c>
      <c r="G33" t="e">
        <f>ROUND( -5.89095286308E-19*G32^6 + 2.07172342120907E-15*G32^5 - 2.66836018418095E-12*G32^4 + 1.43909263867516E-09*G32^3 - 1.89393377758584E-07*G32^2 + 0.0000406616057375686*G32^1 + 1.30212788760025,3)</f>
        <v>#REF!</v>
      </c>
      <c r="H33" t="e">
        <f>ROUND(4.10646713385E-19*H32^6 - 1.51886361529223E-15*H32^5 + 2.11003446262497E-12*H32^4 - 1.32832514453986E-09*H32^3 + 3.78885639307214E-07*H32^2 - 0.0000217687965218261*H32^1 + 1.29792688735449,3)</f>
        <v>#REF!</v>
      </c>
      <c r="I33" t="e">
        <f>ROUND(4.08496730922E-19*I32^6 - 1.34803921386963E-15*I32^5 + 1.69243338249837E-12*I32^4 - 1.12811085473119E-09*I32^3 + 5.23398849261447E-07*I32^2 - 0.0000339100741157949*I32^1+ 1.30181900453198,3)</f>
        <v>#REF!</v>
      </c>
      <c r="J33" t="e">
        <f>ROUND(4.23546609982E-19*J32^6 - 1.6218643300422E-15*J32^5 + 2.38524879948648E-12*J32^4 - 1.53992043725945E-09*J32^3 + 1.29770073575841E-08*J32^2 + 0.000857026638286129*J32^1 + 1.77893165041178,3)</f>
        <v>#REF!</v>
      </c>
      <c r="K33" t="e">
        <f>ROUND(8.178104566231E-18*K32^6 - 2.80759803631456E-14*K32^5 + 3.76802727068042E-11*K32^4 - 2.48869077784999E-08*K32^3 + 8.03230540746824E-06*K32^2 + 0.000181712447982818*K32^1 + 1.54464978052044,3)</f>
        <v>#REF!</v>
      </c>
      <c r="L33" t="e">
        <f>ROUND( 1.4419934632137E-17*L32^6 - 4.21219833903726E-14*L32^5 + 4.46419368654958E-11*L32^4 - 1.96217734031376E-08*L32^3 + 1.87919539329506E-06*L32^2 + 0.00163657450659116*L32^1 + 1.90834389853489,3)</f>
        <v>#REF!</v>
      </c>
      <c r="M33" t="e">
        <f>ROUND(-4.714052287515E-18*M32^6 + 1.55363876221845E-14*M32^5 - 1.8685488950527E-11*M32^4 + 9.92957719693488E-09*M32^3 - 2.99434997907966E-06*M32^2 + 0.00259920959672399*M32^1 + 1.88742267468876,3)</f>
        <v>#REF!</v>
      </c>
      <c r="N33" t="e">
        <f>ROUND(-6.64166666685927E-13*N32^5 + 7.98333333366593E-10*N32^4 - 3.33458333348635E-07*N32^3 + 0.0000565666666614284*N32^2 - 0.000703999995494087*N32^1 + 2.243999999556,3)</f>
        <v>#REF!</v>
      </c>
      <c r="O33" t="e">
        <f>ROUND( 2.050653592613E-18 *O32^6 - 7.03337102909296E-15 *O32^5 + 9.49569505769292E-12*O32^4 - 6.29530454328286E-09*O32^3 + 2.05941016995226E-06*O32^2 + 0.000350206965634925*O32^1 + 1.59158207070459,3)</f>
        <v>#REF!</v>
      </c>
      <c r="P33" t="e">
        <f>ROUND(-2.328431371897E-18 *P32^6 + 7.73849924471147E-15 *P32^5 - 9.49142157657425E-12 *P32^4 + 4.91418571373775E-09 *P32^3 - 6.5439017316038E-07 *P32^2 + 0.000123680538209214 *P32^1 + 1.55685500279412,3)</f>
        <v>#REF!</v>
      </c>
      <c r="Q33" t="e">
        <f>ROUND(8.90522869457E-19*Q32^6 - 2.65554297866131E-15*Q32^5 + 2.97508165428588E-12*Q32^4 - 1.54890382811357E-09*Q32^3 + 3.75768918203789E-07*Q32^2 + 0.00396111880507988*Q32^1 + 2.95991671820411,3)</f>
        <v>#REF!</v>
      </c>
      <c r="R33" t="e">
        <f>ROUND(-1.339869282326E-18*R32^6 + 3.95550528114648E-15*R32^5 - 4.40246360281773E-12*R32^4 + 2.282445604046E-09*R32^3 - 5.44780107247789E-07*R32^2 + 0.00526110614384834*R32^1 + 3.71006748405398,3)</f>
        <v>#REF!</v>
      </c>
      <c r="S33" t="e">
        <f>ROUND(9.55882343609E-19 *S32^6 - 1.92213422717759E-15*S32^5 + 1.93240942588909E-12*S32^4 - 5.41919384366985E-10*S32^3 - 3.30197626396966E-06*S32^2 + 0.00739797931618114*S32^1 + 3.26673510823093,3)</f>
        <v>#REF!</v>
      </c>
    </row>
    <row r="36" spans="1:19">
      <c r="C36" s="395" t="s">
        <v>450</v>
      </c>
      <c r="D36" s="395" t="s">
        <v>451</v>
      </c>
      <c r="E36" s="395" t="s">
        <v>1948</v>
      </c>
      <c r="F36" s="395" t="s">
        <v>1949</v>
      </c>
      <c r="G36" s="397" t="s">
        <v>1936</v>
      </c>
      <c r="H36" s="395" t="s">
        <v>1882</v>
      </c>
      <c r="I36" s="395" t="s">
        <v>1883</v>
      </c>
      <c r="J36" s="395" t="s">
        <v>1950</v>
      </c>
      <c r="K36" s="395" t="s">
        <v>448</v>
      </c>
      <c r="L36" s="395" t="s">
        <v>1951</v>
      </c>
      <c r="M36" s="395" t="s">
        <v>1884</v>
      </c>
      <c r="N36" s="395" t="s">
        <v>1952</v>
      </c>
      <c r="O36" s="395" t="s">
        <v>1953</v>
      </c>
      <c r="P36" s="395" t="s">
        <v>453</v>
      </c>
      <c r="Q36" s="395" t="s">
        <v>1885</v>
      </c>
      <c r="R36" s="395" t="s">
        <v>449</v>
      </c>
      <c r="S36" s="395" t="s">
        <v>1954</v>
      </c>
    </row>
    <row r="37" spans="1:19">
      <c r="A37" t="s">
        <v>1955</v>
      </c>
      <c r="C37" t="e">
        <f>#REF!</f>
        <v>#REF!</v>
      </c>
      <c r="D37" t="e">
        <f>#REF!</f>
        <v>#REF!</v>
      </c>
      <c r="E37" t="e">
        <f>#REF!</f>
        <v>#REF!</v>
      </c>
      <c r="F37" t="e">
        <f>#REF!</f>
        <v>#REF!</v>
      </c>
      <c r="G37" t="e">
        <f>#REF!</f>
        <v>#REF!</v>
      </c>
      <c r="H37" t="e">
        <f>#REF!</f>
        <v>#REF!</v>
      </c>
      <c r="I37" t="e">
        <f>#REF!</f>
        <v>#REF!</v>
      </c>
      <c r="J37" t="e">
        <f>#REF!</f>
        <v>#REF!</v>
      </c>
      <c r="K37" t="e">
        <f>#REF!</f>
        <v>#REF!</v>
      </c>
      <c r="L37" t="e">
        <f>#REF!</f>
        <v>#REF!</v>
      </c>
      <c r="M37" t="e">
        <f>#REF!</f>
        <v>#REF!</v>
      </c>
      <c r="N37" t="e">
        <f>#REF!</f>
        <v>#REF!</v>
      </c>
      <c r="O37" t="e">
        <f>#REF!</f>
        <v>#REF!</v>
      </c>
      <c r="P37" t="e">
        <f>#REF!</f>
        <v>#REF!</v>
      </c>
      <c r="Q37" t="e">
        <f>#REF!</f>
        <v>#REF!</v>
      </c>
      <c r="R37" t="e">
        <f>#REF!</f>
        <v>#REF!</v>
      </c>
      <c r="S37" t="e">
        <f>#REF!</f>
        <v>#REF!</v>
      </c>
    </row>
    <row r="38" spans="1:19">
      <c r="A38" t="s">
        <v>1956</v>
      </c>
      <c r="C38" t="e">
        <f xml:space="preserve"> ROUND( 9.4047957E-22*C37^6 - 1.6767949785341E-17*C37^5 + 9.57295998499655E-14*C37^4 - 2.48752031695382E-10*C37^3 + 2.95752760059997E-07*C37^2 - 0.0000326169816311506*C37^1 + 1.29943026954243,3)</f>
        <v>#REF!</v>
      </c>
      <c r="D38" t="e">
        <f xml:space="preserve"> ROUND(1.4633420276E-20*D37^6 - 1.1154944252689E-16*D37^5 + 3.23627879378668E-13*D37^4 - 4.40768427642903E-10*D37^3 + 2.45366105572353E-07*D37^2 + 0.000133267933829728*D37^1 + 1.3035695423016,3)</f>
        <v>#REF!</v>
      </c>
      <c r="E38" t="e">
        <f>ROUND( 1.97067681E-22*E37^6 + 8.951951054428E-18*E37^5 - 5.20499819617208E-14*E37^4 + 6.45687805523112E-11*E37^3 + 3.9980488919511E-08*E37^2 + 0.00016980704744185*E37^1 + 1.48142353526646,3)</f>
        <v>#REF!</v>
      </c>
      <c r="F38" t="e">
        <f>ROUND( -3.003325847E-21*F37^6 + 2.6330960522786E-17*F37^5 - 1.18593716261021E-13*F37^4 + 3.64904288372141E-10*F37^3 - 7.71113802783274E-07*F37^2 + 0.00111764402165448*F37^1 + 1.59846171774575,3)</f>
        <v>#REF!</v>
      </c>
      <c r="G38" t="e">
        <f>ROUND(4.179507468E-21*G37^6 - 1.3697996224267E-17*G37^5 - 9.81012412803007E-15*G37^4 + 3.93281674858793E-11*G37^3 + 3.33842328503753E-08*G37^2 + 0.0000573217738768506*G37^1 + 1.30024271281741,3)</f>
        <v>#REF!</v>
      </c>
      <c r="H38" t="e">
        <f>ROUND(4.10646713385E-19*H37^6 - 1.51886361529223E-15*H37^5 + 2.11003446262497E-12*H37^4 - 1.32832514453986E-09*H37^3 + 3.78885639307214E-07*H37^2 - 0.0000217687965218261*H37^1 + 1.29792688735449,3)</f>
        <v>#REF!</v>
      </c>
      <c r="I38" t="e">
        <f>ROUND(4.08496730922E-19*I37^6 - 1.34803921386963E-15*I37^5 + 1.69243338249837E-12*I37^4 - 1.12811085473119E-09*I37^3 + 5.23398849261447E-07*I37^2 - 0.0000339100741157949*I37^1+ 1.30181900453198,3)</f>
        <v>#REF!</v>
      </c>
      <c r="J38" t="e">
        <f>ROUND(4.23546609982E-19*J37^6 - 1.6218643300422E-15*J37^5 + 2.38524879948648E-12*J37^4 - 1.53992043725945E-09*J37^3 + 1.29770073575841E-08*J37^2 + 0.000857026638286129*J37^1 + 1.77893165041178,3)</f>
        <v>#REF!</v>
      </c>
      <c r="K38" t="e">
        <f>ROUND(8.178104566231E-18*K37^6 - 2.80759803631456E-14*K37^5 + 3.76802727068042E-11*K37^4 - 2.48869077784999E-08*K37^3 + 8.03230540746824E-06*K37^2 + 0.000181712447982818*K37^1 + 1.54464978052044,3)</f>
        <v>#REF!</v>
      </c>
      <c r="L38" t="e">
        <f>ROUND( 1.4419934632137E-17*L37^6 - 4.21219833903726E-14*L37^5 + 4.46419368654958E-11*L37^4 - 1.96217734031376E-08*L37^3 + 1.87919539329506E-06*L37^2 + 0.00163657450659116*L37^1 + 1.90834389853489,3)</f>
        <v>#REF!</v>
      </c>
      <c r="M38" t="e">
        <f>ROUND(-4.714052287515E-18*M37^6 + 1.55363876221845E-14*M37^5 - 1.8685488950527E-11*M37^4 + 9.92957719693488E-09*M37^3 - 2.99434997907966E-06*M37^2 + 0.00259920959672399*M37^1 + 1.88742267468876,3)</f>
        <v>#REF!</v>
      </c>
      <c r="N38" t="e">
        <f>ROUND(-6.64166666685927E-13*N37^5 + 7.98333333366593E-10*N37^4 - 3.33458333348635E-07*N37^3 + 0.0000565666666614284*N37^2 - 0.000703999995494087*N37^1 + 2.243999999556,3)</f>
        <v>#REF!</v>
      </c>
      <c r="O38" t="e">
        <f>ROUND( 2.050653592613E-18 *O37^6 - 7.03337102909296E-15 *O37^5 + 9.49569505769292E-12*O37^4 - 6.29530454328286E-09*O37^3 + 2.05941016995226E-06*O37^2 + 0.000350206965634925*O37^1 + 1.59158207070459,3)</f>
        <v>#REF!</v>
      </c>
      <c r="P38" t="e">
        <f>ROUND(-2.328431371897E-18 *P37^6 + 7.73849924471147E-15 *P37^5 - 9.49142157657425E-12 *P37^4 + 4.91418571373775E-09 *P37^3 - 6.5439017316038E-07 *P37^2 + 0.000123680538209214 *P37^1 + 1.55685500279412,3)</f>
        <v>#REF!</v>
      </c>
      <c r="Q38" t="e">
        <f>ROUND(8.90522869457E-19*Q37^6 - 2.65554297866131E-15*Q37^5 + 2.97508165428588E-12*Q37^4 - 1.54890382811357E-09*Q37^3 + 3.75768918203789E-07*Q37^2 + 0.00396111880507988*Q37^1 + 2.95991671820411,3)</f>
        <v>#REF!</v>
      </c>
      <c r="R38" t="e">
        <f>ROUND(-1.339869282326E-18*R37^6 + 3.95550528114648E-15*R37^5 - 4.40246360281773E-12*R37^4 + 2.282445604046E-09*R37^3 - 5.44780107247789E-07*R37^2 + 0.00526110614384834*R37^1 + 3.71006748405398,3)</f>
        <v>#REF!</v>
      </c>
      <c r="S38" t="e">
        <f>ROUND(9.55882343609E-19 *S37^6 - 1.92213422717759E-15*S37^5 + 1.93240942588909E-12*S37^4 - 5.41919384366985E-10*S37^3 - 3.30197626396966E-06*S37^2 + 0.00739797931618114*S37^1 + 3.26673510823093,3)</f>
        <v>#REF!</v>
      </c>
    </row>
    <row r="41" spans="1:19">
      <c r="B41" t="s">
        <v>1957</v>
      </c>
    </row>
    <row r="42" spans="1:19">
      <c r="B42" t="s">
        <v>1958</v>
      </c>
      <c r="C42" t="s">
        <v>1959</v>
      </c>
      <c r="D42" t="s">
        <v>1960</v>
      </c>
      <c r="E42" t="s">
        <v>1961</v>
      </c>
      <c r="F42" t="s">
        <v>1962</v>
      </c>
      <c r="G42" t="s">
        <v>1963</v>
      </c>
    </row>
    <row r="43" spans="1:19">
      <c r="B43" s="398">
        <v>100</v>
      </c>
      <c r="C43" s="398">
        <v>169.71</v>
      </c>
      <c r="D43" s="398">
        <v>129.58000000000001</v>
      </c>
      <c r="E43" s="398">
        <v>150.47999999999999</v>
      </c>
      <c r="F43" s="398">
        <v>132.01</v>
      </c>
      <c r="G43" s="398">
        <v>80.67</v>
      </c>
    </row>
    <row r="44" spans="1:19">
      <c r="B44" s="398">
        <v>200</v>
      </c>
      <c r="C44" s="398">
        <v>356.97</v>
      </c>
      <c r="D44" s="398">
        <v>259.58</v>
      </c>
      <c r="E44" s="398">
        <v>303.87</v>
      </c>
      <c r="F44" s="398">
        <v>265.85000000000002</v>
      </c>
      <c r="G44" s="398">
        <v>168.87</v>
      </c>
    </row>
    <row r="45" spans="1:19">
      <c r="B45" s="398">
        <v>300</v>
      </c>
      <c r="C45" s="398">
        <v>558.03</v>
      </c>
      <c r="D45" s="398">
        <v>391.25</v>
      </c>
      <c r="E45" s="398">
        <v>461.89</v>
      </c>
      <c r="F45" s="398">
        <v>402.12</v>
      </c>
      <c r="G45" s="398">
        <v>263.33999999999997</v>
      </c>
    </row>
    <row r="46" spans="1:19">
      <c r="B46" s="398">
        <v>400</v>
      </c>
      <c r="C46" s="398">
        <v>770.79</v>
      </c>
      <c r="D46" s="398">
        <v>525.84</v>
      </c>
      <c r="E46" s="398">
        <v>625.33000000000004</v>
      </c>
      <c r="F46" s="398">
        <v>540.89</v>
      </c>
      <c r="G46" s="398">
        <v>359.48</v>
      </c>
    </row>
    <row r="47" spans="1:19">
      <c r="B47" s="398">
        <v>500</v>
      </c>
      <c r="C47" s="398">
        <v>994.84</v>
      </c>
      <c r="D47" s="398">
        <v>662.95</v>
      </c>
      <c r="E47" s="398">
        <v>793.36</v>
      </c>
      <c r="F47" s="398">
        <v>683.01</v>
      </c>
      <c r="G47" s="398">
        <v>457.71</v>
      </c>
    </row>
    <row r="48" spans="1:19">
      <c r="B48" s="398">
        <v>600</v>
      </c>
      <c r="C48" s="398">
        <v>1220.56</v>
      </c>
      <c r="D48" s="398">
        <v>802.56</v>
      </c>
      <c r="E48" s="398">
        <v>965.58</v>
      </c>
      <c r="F48" s="398">
        <v>828.48</v>
      </c>
      <c r="G48" s="398">
        <v>559.28</v>
      </c>
    </row>
    <row r="49" spans="2:7">
      <c r="B49" s="398">
        <v>700</v>
      </c>
      <c r="C49" s="398">
        <v>1458.82</v>
      </c>
      <c r="D49" s="398">
        <v>944.68</v>
      </c>
      <c r="E49" s="398">
        <v>1145.32</v>
      </c>
      <c r="F49" s="398">
        <v>978.12</v>
      </c>
      <c r="G49" s="398">
        <v>661.28</v>
      </c>
    </row>
    <row r="50" spans="2:7">
      <c r="B50" s="398">
        <v>800</v>
      </c>
      <c r="C50" s="398">
        <v>1701.26</v>
      </c>
      <c r="D50" s="398">
        <v>1090.98</v>
      </c>
      <c r="E50" s="398">
        <v>1333.42</v>
      </c>
      <c r="F50" s="398">
        <v>1128.5999999999999</v>
      </c>
      <c r="G50" s="398">
        <v>765.78</v>
      </c>
    </row>
    <row r="51" spans="2:7">
      <c r="B51" s="398">
        <v>900</v>
      </c>
      <c r="C51" s="398">
        <v>1947.88</v>
      </c>
      <c r="D51" s="398">
        <v>1241.46</v>
      </c>
      <c r="E51" s="398">
        <v>1521.52</v>
      </c>
      <c r="F51" s="398">
        <v>1279.08</v>
      </c>
      <c r="G51" s="398">
        <v>873.62</v>
      </c>
    </row>
    <row r="52" spans="2:7">
      <c r="B52" s="398">
        <v>1000</v>
      </c>
      <c r="C52" s="398">
        <v>2198.6799999999998</v>
      </c>
      <c r="D52" s="398">
        <v>1391.94</v>
      </c>
      <c r="E52" s="398">
        <v>1722.16</v>
      </c>
      <c r="F52" s="398">
        <v>1433.74</v>
      </c>
      <c r="G52" s="398">
        <v>982.3</v>
      </c>
    </row>
    <row r="53" spans="2:7">
      <c r="B53" s="398">
        <v>1100</v>
      </c>
      <c r="C53" s="398">
        <v>2453.66</v>
      </c>
      <c r="D53" s="398">
        <v>1542.42</v>
      </c>
      <c r="E53" s="398">
        <v>1922.8</v>
      </c>
      <c r="F53" s="398">
        <v>1592.58</v>
      </c>
      <c r="G53" s="398">
        <v>1095.1600000000001</v>
      </c>
    </row>
    <row r="54" spans="2:7">
      <c r="B54" s="398">
        <v>1200</v>
      </c>
      <c r="C54" s="398">
        <v>2712.82</v>
      </c>
      <c r="D54" s="398">
        <v>1692.9</v>
      </c>
      <c r="E54" s="398">
        <v>2127.62</v>
      </c>
      <c r="F54" s="398">
        <v>1751.42</v>
      </c>
      <c r="G54" s="398">
        <v>1203.8399999999999</v>
      </c>
    </row>
    <row r="55" spans="2:7">
      <c r="B55" s="398">
        <v>1300</v>
      </c>
      <c r="C55" s="398">
        <v>2971.98</v>
      </c>
      <c r="D55" s="398">
        <v>1847.56</v>
      </c>
      <c r="E55" s="398">
        <v>2340.8000000000002</v>
      </c>
      <c r="F55" s="398">
        <v>1910.26</v>
      </c>
      <c r="G55" s="398">
        <v>1358.5</v>
      </c>
    </row>
    <row r="56" spans="2:7">
      <c r="B56" s="398">
        <v>1400</v>
      </c>
      <c r="C56" s="398">
        <v>3235.32</v>
      </c>
      <c r="D56" s="398">
        <v>2006.4</v>
      </c>
      <c r="E56" s="398">
        <v>2553.98</v>
      </c>
      <c r="F56" s="398">
        <v>2073.2800000000002</v>
      </c>
      <c r="G56" s="398">
        <v>1580.04</v>
      </c>
    </row>
    <row r="57" spans="2:7">
      <c r="B57" s="398">
        <v>1500</v>
      </c>
      <c r="C57" s="398">
        <v>3498.66</v>
      </c>
      <c r="D57" s="398">
        <v>2161.06</v>
      </c>
      <c r="E57" s="398">
        <v>2775.52</v>
      </c>
      <c r="F57" s="398">
        <v>2236.3000000000002</v>
      </c>
      <c r="G57" s="398">
        <v>1755.6</v>
      </c>
    </row>
    <row r="58" spans="2:7">
      <c r="B58" s="398">
        <v>1600</v>
      </c>
      <c r="C58" s="398">
        <v>3762</v>
      </c>
      <c r="D58" s="398">
        <v>2319.9</v>
      </c>
      <c r="E58" s="398">
        <v>2997.06</v>
      </c>
      <c r="F58" s="398">
        <v>2399.3200000000002</v>
      </c>
      <c r="G58" s="398">
        <v>1872.64</v>
      </c>
    </row>
    <row r="59" spans="2:7">
      <c r="B59" s="398">
        <v>1700</v>
      </c>
      <c r="C59" s="398">
        <v>4029.52</v>
      </c>
      <c r="D59" s="398">
        <v>2478.7399999999998</v>
      </c>
      <c r="E59" s="398">
        <v>3222.78</v>
      </c>
      <c r="F59" s="398">
        <v>2562.34</v>
      </c>
      <c r="G59" s="398">
        <v>2060.7399999999998</v>
      </c>
    </row>
    <row r="60" spans="2:7">
      <c r="B60" s="398">
        <v>1800</v>
      </c>
      <c r="C60" s="398">
        <v>4297.04</v>
      </c>
      <c r="D60" s="398">
        <v>2637.58</v>
      </c>
      <c r="E60" s="398">
        <v>3452.68</v>
      </c>
      <c r="F60" s="398">
        <v>2725.36</v>
      </c>
      <c r="G60" s="398">
        <v>2181.96</v>
      </c>
    </row>
    <row r="61" spans="2:7">
      <c r="B61" s="398">
        <v>1900</v>
      </c>
      <c r="C61" s="398">
        <v>4564.57</v>
      </c>
      <c r="D61" s="398">
        <v>2800.6</v>
      </c>
      <c r="E61" s="398">
        <v>3682.58</v>
      </c>
      <c r="F61" s="398">
        <v>2892.56</v>
      </c>
      <c r="G61" s="398">
        <v>2382.6</v>
      </c>
    </row>
    <row r="62" spans="2:7">
      <c r="B62" s="398">
        <v>2000</v>
      </c>
      <c r="C62" s="398">
        <v>4836.26</v>
      </c>
      <c r="D62" s="398">
        <v>2959.44</v>
      </c>
      <c r="E62" s="398">
        <v>3920.84</v>
      </c>
      <c r="F62" s="398">
        <v>3059.76</v>
      </c>
      <c r="G62" s="398">
        <v>2508</v>
      </c>
    </row>
    <row r="63" spans="2:7">
      <c r="B63" s="398">
        <v>2100</v>
      </c>
      <c r="C63" s="398">
        <v>5107.96</v>
      </c>
      <c r="D63" s="398">
        <v>3122.46</v>
      </c>
      <c r="E63" s="398">
        <v>4154.92</v>
      </c>
      <c r="F63" s="398">
        <v>3226.96</v>
      </c>
      <c r="G63" s="398" t="s">
        <v>1945</v>
      </c>
    </row>
    <row r="64" spans="2:7">
      <c r="B64" s="398"/>
      <c r="C64" t="s">
        <v>1959</v>
      </c>
      <c r="D64" t="s">
        <v>1960</v>
      </c>
      <c r="E64" t="s">
        <v>1961</v>
      </c>
      <c r="F64" t="s">
        <v>1962</v>
      </c>
      <c r="G64" t="s">
        <v>1963</v>
      </c>
    </row>
    <row r="65" spans="1:7">
      <c r="A65" t="s">
        <v>1266</v>
      </c>
      <c r="C65" s="399">
        <f>'[13]2、燃烧计算'!AJ48</f>
        <v>1918.1518467054714</v>
      </c>
      <c r="D65" s="399">
        <f>'[13]2、燃烧计算'!AJ48</f>
        <v>1918.1518467054714</v>
      </c>
      <c r="E65" s="399">
        <f>'[13]2、燃烧计算'!AJ48</f>
        <v>1918.1518467054714</v>
      </c>
      <c r="F65" s="399">
        <f>'[13]2、燃烧计算'!AJ48</f>
        <v>1918.1518467054714</v>
      </c>
      <c r="G65" s="399">
        <f>'[13]2、燃烧计算'!AJ48</f>
        <v>1918.1518467054714</v>
      </c>
    </row>
    <row r="66" spans="1:7">
      <c r="A66" t="s">
        <v>1964</v>
      </c>
      <c r="C66">
        <f>ROUND(1.4558021787876E-17*C65^6 - 9.83850356964332E-14*C65^5 + 2.9870831262952E-10*C65^4 - 6.03999792669932E-07*C65^3 + 0.000962732656028146*C65^2 + 1.62808094529304*C65^1 - 2.41981412050105,3)</f>
        <v>4614.049</v>
      </c>
      <c r="D66">
        <f>ROUND(-2.0582701358225E-17*D65^6 + 1.41793898110529E-13*D65^5 - 3.71437365412872E-10*D65^4 + 4.32012233084733E-07*D65^3 - 0.0000945238619171653*D65^2 + 1.30290287754529*D65^1 - 0.102798817509236,3)</f>
        <v>2828.6590000000001</v>
      </c>
      <c r="E66">
        <f>ROUND( -1.5145384504102E-17*E65^6 + 1.15095232530772E-13*E65^5 - 3.48272006423024E-10*E65^4 + 4.86765479516323E-07*E65^3 - 0.0000413986653389886*E65^2 + 1.5257572833163*E65^1 - 2.41819813188187,3)</f>
        <v>3726.84</v>
      </c>
      <c r="F66">
        <f>ROUND(1.0385725640978E-17*F65^6 - 5.64801142748802E-14*F65^5 + 1.10369243649079E-10 *F65^4 - 1.23332851636077E-07*F65^3 + 0.000218449621212046*F65^2 + 1.27275448978553*F65^1 + 2.9047303673099,3)</f>
        <v>2922.3620000000001</v>
      </c>
      <c r="G66">
        <f>ROUND(4.87504134591511E-16*G65^6 - 3.2538915975737E-12*G65^5 + 8.11621962135553E-09*G65^4 - 9.30802830680957E-06*G65^3 + 0.00512663099010699*G65^2 - 0.267953432007862*G65^1 + 70.2842073757962,3)</f>
        <v>2388.3789999999999</v>
      </c>
    </row>
  </sheetData>
  <mergeCells count="2">
    <mergeCell ref="A32:B32"/>
    <mergeCell ref="A33:B33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sqref="A1:XFD1048576"/>
    </sheetView>
  </sheetViews>
  <sheetFormatPr defaultRowHeight="14.25"/>
  <cols>
    <col min="1" max="16384" width="9" style="400"/>
  </cols>
  <sheetData>
    <row r="1" spans="1:11">
      <c r="A1" s="400" t="s">
        <v>1965</v>
      </c>
      <c r="B1" s="400" t="s">
        <v>1966</v>
      </c>
      <c r="C1" s="400" t="s">
        <v>1960</v>
      </c>
      <c r="D1" s="400" t="s">
        <v>1967</v>
      </c>
      <c r="E1" s="400" t="s">
        <v>1961</v>
      </c>
      <c r="F1" s="400" t="s">
        <v>1968</v>
      </c>
      <c r="G1" s="400" t="s">
        <v>1969</v>
      </c>
      <c r="H1" s="400" t="s">
        <v>1970</v>
      </c>
      <c r="I1" s="400" t="s">
        <v>1971</v>
      </c>
      <c r="J1" s="400" t="s">
        <v>1972</v>
      </c>
      <c r="K1" s="400" t="s">
        <v>467</v>
      </c>
    </row>
    <row r="2" spans="1:11">
      <c r="A2" s="400">
        <v>100</v>
      </c>
      <c r="B2" s="400">
        <v>172</v>
      </c>
      <c r="C2" s="400">
        <v>130.13</v>
      </c>
      <c r="D2" s="401">
        <v>131.93</v>
      </c>
      <c r="E2" s="400">
        <v>150.18</v>
      </c>
      <c r="F2" s="400">
        <v>130.51</v>
      </c>
      <c r="G2" s="400">
        <v>130.21</v>
      </c>
      <c r="H2" s="400">
        <v>128.96</v>
      </c>
      <c r="I2" s="400">
        <v>154.08000000000001</v>
      </c>
      <c r="J2" s="400">
        <v>165.39</v>
      </c>
      <c r="K2" s="400">
        <v>210.61</v>
      </c>
    </row>
    <row r="3" spans="1:11">
      <c r="A3" s="400">
        <v>200</v>
      </c>
      <c r="B3" s="400">
        <v>361.67</v>
      </c>
      <c r="C3" s="400">
        <v>260.60000000000002</v>
      </c>
      <c r="D3" s="400">
        <v>267.38</v>
      </c>
      <c r="E3" s="400">
        <v>303.47000000000003</v>
      </c>
      <c r="F3" s="400">
        <v>261.94</v>
      </c>
      <c r="G3" s="400">
        <v>262.10000000000002</v>
      </c>
      <c r="H3" s="400">
        <v>259.58999999999997</v>
      </c>
      <c r="I3" s="400">
        <v>314.86</v>
      </c>
      <c r="J3" s="400">
        <v>353.38</v>
      </c>
      <c r="K3" s="400">
        <v>465.59</v>
      </c>
    </row>
    <row r="4" spans="1:11">
      <c r="A4" s="400">
        <v>300</v>
      </c>
      <c r="B4" s="400">
        <v>564.24</v>
      </c>
      <c r="C4" s="400">
        <v>392.41</v>
      </c>
      <c r="D4" s="400">
        <v>407.48</v>
      </c>
      <c r="E4" s="400">
        <v>461.36</v>
      </c>
      <c r="F4" s="400">
        <v>395.42</v>
      </c>
      <c r="G4" s="400">
        <v>395.67</v>
      </c>
      <c r="H4" s="400">
        <v>390.65</v>
      </c>
      <c r="I4" s="400">
        <v>482.34</v>
      </c>
      <c r="J4" s="400">
        <v>567.75</v>
      </c>
      <c r="K4" s="400">
        <v>758.68</v>
      </c>
    </row>
    <row r="5" spans="1:11">
      <c r="A5" s="400">
        <v>400</v>
      </c>
      <c r="B5" s="400">
        <v>777.44</v>
      </c>
      <c r="C5" s="400">
        <v>526.89</v>
      </c>
      <c r="D5" s="400">
        <v>551.58000000000004</v>
      </c>
      <c r="E5" s="400">
        <v>623.6</v>
      </c>
      <c r="F5" s="400">
        <v>532.08000000000004</v>
      </c>
      <c r="G5" s="400">
        <v>532.58000000000004</v>
      </c>
      <c r="H5" s="400">
        <v>520.86</v>
      </c>
      <c r="I5" s="400">
        <v>658.19</v>
      </c>
      <c r="J5" s="400">
        <v>808.93</v>
      </c>
      <c r="K5" s="400">
        <v>1088.6199999999999</v>
      </c>
    </row>
    <row r="6" spans="1:11">
      <c r="A6" s="400">
        <v>500</v>
      </c>
      <c r="B6" s="400">
        <v>1001.78</v>
      </c>
      <c r="C6" s="400">
        <v>664.58</v>
      </c>
      <c r="D6" s="400">
        <v>700.17</v>
      </c>
      <c r="E6" s="400">
        <v>791.55</v>
      </c>
      <c r="F6" s="400">
        <v>672.01</v>
      </c>
      <c r="G6" s="400">
        <v>672.01</v>
      </c>
      <c r="H6" s="400">
        <v>653.16999999999996</v>
      </c>
      <c r="I6" s="400">
        <v>841.59</v>
      </c>
      <c r="J6" s="400">
        <v>984.78</v>
      </c>
      <c r="K6" s="400">
        <v>1446.61</v>
      </c>
    </row>
    <row r="7" spans="1:11">
      <c r="A7" s="400">
        <v>600</v>
      </c>
      <c r="B7" s="400">
        <v>1236.76</v>
      </c>
      <c r="C7" s="400">
        <v>805.06</v>
      </c>
      <c r="D7" s="400">
        <v>851.64</v>
      </c>
      <c r="E7" s="400">
        <v>964.68</v>
      </c>
      <c r="F7" s="400">
        <v>814.96</v>
      </c>
      <c r="G7" s="400">
        <v>816.46</v>
      </c>
      <c r="H7" s="400">
        <v>786.41</v>
      </c>
      <c r="I7" s="400">
        <v>1032.51</v>
      </c>
      <c r="J7" s="400">
        <v>1071.8399999999999</v>
      </c>
      <c r="K7" s="400">
        <v>1828.88</v>
      </c>
    </row>
    <row r="8" spans="1:11">
      <c r="A8" s="400">
        <v>700</v>
      </c>
      <c r="B8" s="400">
        <v>1475.41</v>
      </c>
      <c r="C8" s="400">
        <v>940.36</v>
      </c>
      <c r="D8" s="400">
        <v>1005.89</v>
      </c>
      <c r="E8" s="400">
        <v>1143.6400000000001</v>
      </c>
      <c r="F8" s="400">
        <v>960.75</v>
      </c>
      <c r="G8" s="400">
        <v>961.33</v>
      </c>
      <c r="H8" s="400">
        <v>920.3</v>
      </c>
      <c r="I8" s="400">
        <v>1230.98</v>
      </c>
      <c r="J8" s="400">
        <v>1667.68</v>
      </c>
      <c r="K8" s="400">
        <v>2233.35</v>
      </c>
    </row>
    <row r="9" spans="1:11">
      <c r="A9" s="400">
        <v>800</v>
      </c>
      <c r="B9" s="400">
        <v>1718.95</v>
      </c>
      <c r="C9" s="400">
        <v>1094.6500000000001</v>
      </c>
      <c r="D9" s="400">
        <v>1162.32</v>
      </c>
      <c r="E9" s="400">
        <v>1328.11</v>
      </c>
      <c r="F9" s="400">
        <v>1109.05</v>
      </c>
      <c r="G9" s="400">
        <v>1112.06</v>
      </c>
      <c r="H9" s="400">
        <v>1055.1199999999999</v>
      </c>
      <c r="I9" s="400">
        <v>1436.98</v>
      </c>
      <c r="J9" s="400">
        <v>1996.36</v>
      </c>
      <c r="K9" s="400">
        <v>2672.98</v>
      </c>
    </row>
    <row r="10" spans="1:11">
      <c r="A10" s="400">
        <v>900</v>
      </c>
      <c r="B10" s="400">
        <v>1972.43</v>
      </c>
      <c r="C10" s="400">
        <v>1243.55</v>
      </c>
      <c r="D10" s="400">
        <v>1319.67</v>
      </c>
      <c r="E10" s="400">
        <v>1517.87</v>
      </c>
      <c r="F10" s="400">
        <v>1259.3599999999999</v>
      </c>
      <c r="G10" s="400">
        <v>1262.3800000000001</v>
      </c>
      <c r="H10" s="400">
        <v>1190.78</v>
      </c>
      <c r="I10" s="400">
        <v>1646.75</v>
      </c>
      <c r="J10" s="400">
        <v>2336.35</v>
      </c>
      <c r="K10" s="400">
        <v>3105.08</v>
      </c>
    </row>
    <row r="11" spans="1:11">
      <c r="A11" s="400">
        <v>1000</v>
      </c>
      <c r="B11" s="400">
        <v>2226.75</v>
      </c>
      <c r="C11" s="400">
        <v>1393.86</v>
      </c>
      <c r="D11" s="400">
        <v>1480.11</v>
      </c>
      <c r="E11" s="400">
        <v>1713.32</v>
      </c>
      <c r="F11" s="400">
        <v>1411.86</v>
      </c>
      <c r="G11" s="400">
        <v>1415.2</v>
      </c>
      <c r="H11" s="400">
        <v>1327.28</v>
      </c>
      <c r="I11" s="400">
        <v>1863.21</v>
      </c>
      <c r="J11" s="400">
        <v>2696.43</v>
      </c>
      <c r="K11" s="400">
        <v>3567.32</v>
      </c>
    </row>
    <row r="18" spans="1:11">
      <c r="A18" s="402" t="s">
        <v>1973</v>
      </c>
      <c r="B18" s="400">
        <v>2.9999999999999997E-4</v>
      </c>
      <c r="C18" s="400">
        <v>0.78080000000000005</v>
      </c>
      <c r="D18" s="400">
        <v>0.20949999999999999</v>
      </c>
      <c r="E18" s="400">
        <v>1E-4</v>
      </c>
      <c r="F18" s="400">
        <v>9.2999999999999992E-3</v>
      </c>
      <c r="G18" s="400">
        <v>0</v>
      </c>
      <c r="H18" s="400">
        <v>0</v>
      </c>
      <c r="I18" s="400">
        <v>0</v>
      </c>
      <c r="J18" s="400">
        <v>0</v>
      </c>
      <c r="K18" s="400">
        <v>0</v>
      </c>
    </row>
    <row r="19" spans="1:11">
      <c r="A19" s="400" t="s">
        <v>1974</v>
      </c>
      <c r="B19" s="400">
        <v>0.30399999999999999</v>
      </c>
      <c r="C19" s="400">
        <v>0.58299999999999996</v>
      </c>
      <c r="D19" s="400">
        <v>4.2999999999999997E-2</v>
      </c>
      <c r="E19" s="400">
        <v>7.0000000000000007E-2</v>
      </c>
      <c r="F19" s="400">
        <v>0</v>
      </c>
      <c r="G19" s="400">
        <v>0</v>
      </c>
      <c r="H19" s="400">
        <v>0</v>
      </c>
      <c r="I19" s="400">
        <v>0</v>
      </c>
      <c r="J19" s="400">
        <v>0</v>
      </c>
      <c r="K19" s="400">
        <v>0</v>
      </c>
    </row>
    <row r="20" spans="1:11">
      <c r="A20" s="402" t="s">
        <v>1975</v>
      </c>
      <c r="B20" s="400">
        <v>8.1000000000000003E-2</v>
      </c>
      <c r="C20" s="400">
        <v>0.76400000000000001</v>
      </c>
      <c r="D20" s="400">
        <v>0.105</v>
      </c>
      <c r="E20" s="400">
        <v>0.05</v>
      </c>
      <c r="F20" s="400">
        <v>0</v>
      </c>
      <c r="G20" s="400">
        <v>0</v>
      </c>
      <c r="H20" s="400">
        <v>0</v>
      </c>
      <c r="I20" s="400">
        <v>0</v>
      </c>
      <c r="J20" s="400">
        <v>0</v>
      </c>
      <c r="K20" s="400">
        <v>0</v>
      </c>
    </row>
    <row r="21" spans="1:11">
      <c r="A21" s="402" t="s">
        <v>1976</v>
      </c>
      <c r="B21" s="400">
        <v>0.14299999999999999</v>
      </c>
      <c r="C21" s="400">
        <v>0.76</v>
      </c>
      <c r="D21" s="400">
        <v>8.3000000000000004E-2</v>
      </c>
      <c r="E21" s="400">
        <v>1.4E-2</v>
      </c>
      <c r="F21" s="400">
        <v>0</v>
      </c>
      <c r="G21" s="400">
        <v>0</v>
      </c>
      <c r="H21" s="400">
        <v>0</v>
      </c>
      <c r="I21" s="400">
        <v>0</v>
      </c>
      <c r="J21" s="400">
        <v>0</v>
      </c>
      <c r="K21" s="400">
        <v>0</v>
      </c>
    </row>
    <row r="22" spans="1:11">
      <c r="A22" s="402" t="s">
        <v>1977</v>
      </c>
      <c r="B22" s="400">
        <v>0.05</v>
      </c>
      <c r="C22" s="400">
        <v>0.79</v>
      </c>
      <c r="D22" s="400">
        <v>0.158</v>
      </c>
      <c r="G22" s="400">
        <v>2E-3</v>
      </c>
    </row>
    <row r="23" spans="1:11">
      <c r="A23" s="403" t="s">
        <v>1978</v>
      </c>
      <c r="B23" s="403">
        <v>3.6299999999999999E-2</v>
      </c>
      <c r="C23" s="403">
        <v>0.77080000000000004</v>
      </c>
      <c r="D23" s="403">
        <v>0.1736</v>
      </c>
      <c r="E23" s="403">
        <v>1.9300000000000001E-2</v>
      </c>
      <c r="F23" s="403">
        <v>0</v>
      </c>
      <c r="G23" s="403">
        <v>0</v>
      </c>
      <c r="H23" s="403">
        <v>0</v>
      </c>
      <c r="I23" s="403">
        <v>0</v>
      </c>
      <c r="J23" s="403">
        <v>0</v>
      </c>
      <c r="K23" s="403">
        <v>0</v>
      </c>
    </row>
    <row r="28" spans="1:11">
      <c r="A28" s="402" t="s">
        <v>1979</v>
      </c>
      <c r="B28" s="402" t="s">
        <v>1980</v>
      </c>
      <c r="C28" s="402" t="s">
        <v>1981</v>
      </c>
      <c r="D28" s="402" t="s">
        <v>1982</v>
      </c>
      <c r="E28" s="402" t="s">
        <v>1983</v>
      </c>
      <c r="F28" s="402" t="s">
        <v>1984</v>
      </c>
      <c r="G28" s="402" t="s">
        <v>1985</v>
      </c>
    </row>
    <row r="29" spans="1:11">
      <c r="A29" s="402" t="s">
        <v>1266</v>
      </c>
      <c r="B29" s="400">
        <v>350</v>
      </c>
      <c r="C29" s="400">
        <v>350</v>
      </c>
      <c r="D29" s="400">
        <v>350</v>
      </c>
      <c r="E29" s="400">
        <v>350</v>
      </c>
      <c r="F29" s="400">
        <v>800</v>
      </c>
      <c r="G29" s="400">
        <v>350</v>
      </c>
    </row>
    <row r="30" spans="1:11">
      <c r="A30" s="402" t="s">
        <v>1986</v>
      </c>
      <c r="B30" s="400" t="e">
        <f ca="1">h_kq(B29)</f>
        <v>#NAME?</v>
      </c>
      <c r="C30" s="400" t="e">
        <f ca="1">h_sp(C29)</f>
        <v>#NAME?</v>
      </c>
      <c r="D30" s="400" t="e">
        <f ca="1">h_bl(D29)</f>
        <v>#NAME?</v>
      </c>
      <c r="E30" s="400" t="e">
        <f ca="1">h_ds(E29)</f>
        <v>#NAME?</v>
      </c>
      <c r="F30" s="400" t="e">
        <f ca="1">h_sj(F29)</f>
        <v>#NAME?</v>
      </c>
      <c r="G30" s="400" t="e">
        <f ca="1">h_g(G29)</f>
        <v>#NAME?</v>
      </c>
    </row>
    <row r="34" spans="6:6">
      <c r="F34" s="400">
        <v>80000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P7" sqref="P7"/>
    </sheetView>
  </sheetViews>
  <sheetFormatPr defaultRowHeight="13.5"/>
  <cols>
    <col min="1" max="16384" width="9" style="404"/>
  </cols>
  <sheetData>
    <row r="1" spans="1:8" ht="22.5">
      <c r="A1" s="591" t="s">
        <v>1987</v>
      </c>
      <c r="B1" s="592"/>
      <c r="C1" s="592"/>
      <c r="D1" s="592"/>
      <c r="E1" s="592"/>
      <c r="F1" s="592"/>
      <c r="G1" s="592"/>
      <c r="H1" s="592"/>
    </row>
    <row r="2" spans="1:8">
      <c r="A2" s="405" t="s">
        <v>1988</v>
      </c>
      <c r="B2" s="593" t="s">
        <v>1989</v>
      </c>
      <c r="C2" s="594"/>
      <c r="D2" s="594"/>
      <c r="E2" s="406"/>
      <c r="F2" s="406"/>
      <c r="G2" s="406"/>
      <c r="H2" s="407" t="s">
        <v>1990</v>
      </c>
    </row>
    <row r="3" spans="1:8" ht="36.75">
      <c r="A3" s="408" t="s">
        <v>1869</v>
      </c>
      <c r="B3" s="409" t="s">
        <v>1991</v>
      </c>
      <c r="C3" s="410" t="s">
        <v>1992</v>
      </c>
      <c r="D3" s="410" t="s">
        <v>1993</v>
      </c>
      <c r="E3" s="410" t="s">
        <v>1994</v>
      </c>
      <c r="F3" s="410" t="s">
        <v>1995</v>
      </c>
      <c r="G3" s="410" t="s">
        <v>1887</v>
      </c>
      <c r="H3" s="411" t="s">
        <v>1996</v>
      </c>
    </row>
    <row r="4" spans="1:8" ht="28.5">
      <c r="A4" s="412" t="s">
        <v>1945</v>
      </c>
      <c r="B4" s="413" t="s">
        <v>1997</v>
      </c>
      <c r="C4" s="414">
        <f>SUM(C5:C11)</f>
        <v>1322.3</v>
      </c>
      <c r="D4" s="414">
        <f>SUM(D5:D11)</f>
        <v>3950</v>
      </c>
      <c r="E4" s="414">
        <f>SUM(E5:E11)</f>
        <v>1788</v>
      </c>
      <c r="F4" s="414"/>
      <c r="G4" s="415">
        <f t="shared" ref="G4:G11" si="0">ROUND(C4+D4+E4+F4,1)</f>
        <v>7060.3</v>
      </c>
      <c r="H4" s="414">
        <f>ROUND(G4/G25*100,1)</f>
        <v>93.1</v>
      </c>
    </row>
    <row r="5" spans="1:8">
      <c r="A5" s="416" t="s">
        <v>1998</v>
      </c>
      <c r="B5" s="417" t="s">
        <v>1999</v>
      </c>
      <c r="C5" s="418">
        <v>985</v>
      </c>
      <c r="D5" s="418">
        <v>2335</v>
      </c>
      <c r="E5" s="418">
        <v>860</v>
      </c>
      <c r="F5" s="418"/>
      <c r="G5" s="415">
        <f t="shared" si="0"/>
        <v>4180</v>
      </c>
      <c r="H5" s="414">
        <f>ROUND(G5/G25*100,1)</f>
        <v>55.1</v>
      </c>
    </row>
    <row r="6" spans="1:8" ht="24">
      <c r="A6" s="416" t="s">
        <v>2000</v>
      </c>
      <c r="B6" s="417" t="s">
        <v>2001</v>
      </c>
      <c r="C6" s="418">
        <v>36.299999999999997</v>
      </c>
      <c r="D6" s="418">
        <v>170</v>
      </c>
      <c r="E6" s="418">
        <v>92</v>
      </c>
      <c r="F6" s="418"/>
      <c r="G6" s="415">
        <f t="shared" si="0"/>
        <v>298.3</v>
      </c>
      <c r="H6" s="414">
        <f>ROUND(G6/G25*100,1)</f>
        <v>3.9</v>
      </c>
    </row>
    <row r="7" spans="1:8" ht="24">
      <c r="A7" s="416" t="s">
        <v>2002</v>
      </c>
      <c r="B7" s="417" t="s">
        <v>2003</v>
      </c>
      <c r="C7" s="418">
        <v>65</v>
      </c>
      <c r="D7" s="418">
        <v>165</v>
      </c>
      <c r="E7" s="418">
        <v>16</v>
      </c>
      <c r="F7" s="418"/>
      <c r="G7" s="415">
        <f t="shared" si="0"/>
        <v>246</v>
      </c>
      <c r="H7" s="414">
        <f>ROUND(G7/G26*100,1)</f>
        <v>246</v>
      </c>
    </row>
    <row r="8" spans="1:8">
      <c r="A8" s="416" t="s">
        <v>2004</v>
      </c>
      <c r="B8" s="417" t="s">
        <v>2005</v>
      </c>
      <c r="C8" s="418">
        <v>220</v>
      </c>
      <c r="D8" s="418">
        <v>270</v>
      </c>
      <c r="E8" s="418">
        <v>130</v>
      </c>
      <c r="F8" s="418"/>
      <c r="G8" s="415">
        <f t="shared" si="0"/>
        <v>620</v>
      </c>
      <c r="H8" s="414">
        <f>ROUND(G8/G25*100,1)</f>
        <v>8.1999999999999993</v>
      </c>
    </row>
    <row r="9" spans="1:8">
      <c r="A9" s="416" t="s">
        <v>2006</v>
      </c>
      <c r="B9" s="417" t="s">
        <v>2007</v>
      </c>
      <c r="C9" s="418">
        <v>16</v>
      </c>
      <c r="D9" s="418">
        <v>635</v>
      </c>
      <c r="E9" s="418">
        <v>480</v>
      </c>
      <c r="F9" s="418"/>
      <c r="G9" s="415">
        <f t="shared" si="0"/>
        <v>1131</v>
      </c>
      <c r="H9" s="414">
        <f>ROUND(G9/G25*100,1)</f>
        <v>14.9</v>
      </c>
    </row>
    <row r="10" spans="1:8" ht="24">
      <c r="A10" s="416" t="s">
        <v>2008</v>
      </c>
      <c r="B10" s="417" t="s">
        <v>2009</v>
      </c>
      <c r="C10" s="418"/>
      <c r="D10" s="418">
        <v>375</v>
      </c>
      <c r="E10" s="418">
        <v>210</v>
      </c>
      <c r="F10" s="418"/>
      <c r="G10" s="415">
        <f t="shared" si="0"/>
        <v>585</v>
      </c>
      <c r="H10" s="414">
        <f>ROUND(G10/G25*100,1)</f>
        <v>7.7</v>
      </c>
    </row>
    <row r="11" spans="1:8" ht="24">
      <c r="A11" s="416" t="s">
        <v>2010</v>
      </c>
      <c r="B11" s="417" t="s">
        <v>2011</v>
      </c>
      <c r="C11" s="418">
        <v>0</v>
      </c>
      <c r="D11" s="418">
        <v>0</v>
      </c>
      <c r="E11" s="418">
        <v>0</v>
      </c>
      <c r="F11" s="418"/>
      <c r="G11" s="415">
        <f t="shared" si="0"/>
        <v>0</v>
      </c>
      <c r="H11" s="414">
        <f>ROUND(G11/G25*100,1)</f>
        <v>0</v>
      </c>
    </row>
    <row r="12" spans="1:8" ht="14.25">
      <c r="A12" s="416"/>
      <c r="B12" s="419"/>
      <c r="C12" s="418"/>
      <c r="D12" s="418"/>
      <c r="E12" s="418"/>
      <c r="F12" s="418"/>
      <c r="G12" s="415"/>
      <c r="H12" s="414"/>
    </row>
    <row r="13" spans="1:8" ht="27">
      <c r="A13" s="416"/>
      <c r="B13" s="420" t="s">
        <v>2012</v>
      </c>
      <c r="C13" s="421">
        <f>SUM(C5:C11)</f>
        <v>1322.3</v>
      </c>
      <c r="D13" s="421">
        <f>SUM(D5:D11)</f>
        <v>3950</v>
      </c>
      <c r="E13" s="421">
        <f>SUM(E5:E11)</f>
        <v>1788</v>
      </c>
      <c r="F13" s="421"/>
      <c r="G13" s="422">
        <f>C13+D13+E13+F143</f>
        <v>7060.3</v>
      </c>
      <c r="H13" s="418">
        <f>ROUND(G13/G25*100,1)</f>
        <v>93.1</v>
      </c>
    </row>
    <row r="14" spans="1:8" ht="28.5">
      <c r="A14" s="412" t="s">
        <v>2013</v>
      </c>
      <c r="B14" s="413" t="s">
        <v>2014</v>
      </c>
      <c r="C14" s="423"/>
      <c r="D14" s="423"/>
      <c r="E14" s="423"/>
      <c r="F14" s="423"/>
      <c r="G14" s="424"/>
      <c r="H14" s="416"/>
    </row>
    <row r="15" spans="1:8" ht="24">
      <c r="A15" s="416" t="s">
        <v>1998</v>
      </c>
      <c r="B15" s="417" t="s">
        <v>2015</v>
      </c>
      <c r="C15" s="416"/>
      <c r="D15" s="416"/>
      <c r="E15" s="416"/>
      <c r="F15" s="416">
        <v>100</v>
      </c>
      <c r="G15" s="425">
        <f t="shared" ref="G15:G20" si="1">F15</f>
        <v>100</v>
      </c>
      <c r="H15" s="416"/>
    </row>
    <row r="16" spans="1:8" ht="24">
      <c r="A16" s="416" t="s">
        <v>2000</v>
      </c>
      <c r="B16" s="417" t="s">
        <v>2016</v>
      </c>
      <c r="C16" s="416"/>
      <c r="D16" s="416"/>
      <c r="E16" s="416"/>
      <c r="F16" s="416">
        <v>160</v>
      </c>
      <c r="G16" s="425">
        <f t="shared" si="1"/>
        <v>160</v>
      </c>
      <c r="H16" s="416"/>
    </row>
    <row r="17" spans="1:8" ht="24">
      <c r="A17" s="416" t="s">
        <v>2002</v>
      </c>
      <c r="B17" s="417" t="s">
        <v>2017</v>
      </c>
      <c r="C17" s="416"/>
      <c r="D17" s="416"/>
      <c r="E17" s="416"/>
      <c r="F17" s="416">
        <f>ROUND((C13+E13)*0.038,1)</f>
        <v>118.2</v>
      </c>
      <c r="G17" s="425">
        <f t="shared" si="1"/>
        <v>118.2</v>
      </c>
      <c r="H17" s="416"/>
    </row>
    <row r="18" spans="1:8" ht="24">
      <c r="A18" s="416" t="s">
        <v>2004</v>
      </c>
      <c r="B18" s="417" t="s">
        <v>2018</v>
      </c>
      <c r="C18" s="416"/>
      <c r="D18" s="416"/>
      <c r="E18" s="416"/>
      <c r="F18" s="416">
        <v>65</v>
      </c>
      <c r="G18" s="425">
        <f t="shared" si="1"/>
        <v>65</v>
      </c>
      <c r="H18" s="416"/>
    </row>
    <row r="19" spans="1:8" ht="24">
      <c r="A19" s="416" t="s">
        <v>2006</v>
      </c>
      <c r="B19" s="417" t="s">
        <v>2019</v>
      </c>
      <c r="C19" s="416"/>
      <c r="D19" s="416"/>
      <c r="E19" s="416"/>
      <c r="F19" s="416">
        <v>30</v>
      </c>
      <c r="G19" s="425">
        <f t="shared" si="1"/>
        <v>30</v>
      </c>
      <c r="H19" s="416"/>
    </row>
    <row r="20" spans="1:8" ht="15.75">
      <c r="A20" s="426" t="s">
        <v>2008</v>
      </c>
      <c r="B20" s="417" t="s">
        <v>2020</v>
      </c>
      <c r="C20" s="423"/>
      <c r="D20" s="423"/>
      <c r="E20" s="423"/>
      <c r="F20" s="416">
        <v>50</v>
      </c>
      <c r="G20" s="427">
        <f t="shared" si="1"/>
        <v>50</v>
      </c>
      <c r="H20" s="416"/>
    </row>
    <row r="21" spans="1:8" ht="15.75">
      <c r="A21" s="416"/>
      <c r="B21" s="419"/>
      <c r="C21" s="423"/>
      <c r="D21" s="423"/>
      <c r="E21" s="423"/>
      <c r="F21" s="423"/>
      <c r="G21" s="427"/>
      <c r="H21" s="416"/>
    </row>
    <row r="22" spans="1:8" ht="27">
      <c r="A22" s="428"/>
      <c r="B22" s="420" t="s">
        <v>2012</v>
      </c>
      <c r="C22" s="423"/>
      <c r="D22" s="423"/>
      <c r="E22" s="423"/>
      <c r="F22" s="423">
        <f>SUM(F15:F21)</f>
        <v>523.20000000000005</v>
      </c>
      <c r="G22" s="427">
        <f>F22</f>
        <v>523.20000000000005</v>
      </c>
      <c r="H22" s="416"/>
    </row>
    <row r="23" spans="1:8" ht="15.75">
      <c r="A23" s="428"/>
      <c r="B23" s="420"/>
      <c r="C23" s="423"/>
      <c r="D23" s="423"/>
      <c r="E23" s="423"/>
      <c r="F23" s="423"/>
      <c r="G23" s="427"/>
      <c r="H23" s="416"/>
    </row>
    <row r="24" spans="1:8" ht="28.5">
      <c r="A24" s="412" t="s">
        <v>2021</v>
      </c>
      <c r="B24" s="413" t="s">
        <v>2022</v>
      </c>
      <c r="C24" s="412"/>
      <c r="D24" s="412"/>
      <c r="E24" s="412"/>
      <c r="F24" s="412"/>
      <c r="G24" s="425"/>
      <c r="H24" s="412"/>
    </row>
    <row r="25" spans="1:8" ht="24">
      <c r="A25" s="428"/>
      <c r="B25" s="417" t="s">
        <v>2023</v>
      </c>
      <c r="C25" s="429">
        <f>C13+C22</f>
        <v>1322.3</v>
      </c>
      <c r="D25" s="429">
        <f>D13+D22</f>
        <v>3950</v>
      </c>
      <c r="E25" s="429">
        <f>E13+E22</f>
        <v>1788</v>
      </c>
      <c r="F25" s="429">
        <f>F13+F22</f>
        <v>523.20000000000005</v>
      </c>
      <c r="G25" s="430">
        <f>C25+D25+E25+F25</f>
        <v>7583.5</v>
      </c>
      <c r="H25" s="429"/>
    </row>
    <row r="26" spans="1:8" ht="36">
      <c r="A26" s="428"/>
      <c r="B26" s="417" t="s">
        <v>2024</v>
      </c>
      <c r="C26" s="416">
        <f>ROUND(C25/G25*100,1)</f>
        <v>17.399999999999999</v>
      </c>
      <c r="D26" s="416">
        <f>ROUND(D25/G25*100,1)</f>
        <v>52.1</v>
      </c>
      <c r="E26" s="416">
        <f>ROUND(E25/G25*100,1)</f>
        <v>23.6</v>
      </c>
      <c r="F26" s="416">
        <f>ROUND(F25/G25*100,1)</f>
        <v>6.9</v>
      </c>
      <c r="G26" s="425">
        <f>C26+D26+E26+F26</f>
        <v>100</v>
      </c>
      <c r="H26" s="416"/>
    </row>
    <row r="27" spans="1:8" ht="36">
      <c r="A27" s="428"/>
      <c r="B27" s="417" t="s">
        <v>2025</v>
      </c>
      <c r="C27" s="416"/>
      <c r="D27" s="416"/>
      <c r="E27" s="416"/>
      <c r="F27" s="416"/>
      <c r="G27" s="431"/>
      <c r="H27" s="416"/>
    </row>
    <row r="28" spans="1:8" ht="15.75">
      <c r="A28" s="416"/>
      <c r="B28" s="419"/>
      <c r="C28" s="416"/>
      <c r="D28" s="416"/>
      <c r="E28" s="416"/>
      <c r="F28" s="416"/>
      <c r="G28" s="431"/>
      <c r="H28" s="416"/>
    </row>
    <row r="29" spans="1:8" ht="15.75">
      <c r="A29" s="416"/>
      <c r="B29" s="419"/>
      <c r="C29" s="416"/>
      <c r="D29" s="416"/>
      <c r="E29" s="416"/>
      <c r="F29" s="416"/>
      <c r="G29" s="431"/>
      <c r="H29" s="416"/>
    </row>
    <row r="30" spans="1:8" ht="15.75">
      <c r="A30" s="416"/>
      <c r="B30" s="419"/>
      <c r="C30" s="416"/>
      <c r="D30" s="416"/>
      <c r="E30" s="416"/>
      <c r="F30" s="416"/>
      <c r="G30" s="431"/>
      <c r="H30" s="416"/>
    </row>
    <row r="31" spans="1:8" ht="15.75">
      <c r="A31" s="416"/>
      <c r="B31" s="419"/>
      <c r="C31" s="416"/>
      <c r="D31" s="416"/>
      <c r="E31" s="416"/>
      <c r="F31" s="416"/>
      <c r="G31" s="431"/>
      <c r="H31" s="416"/>
    </row>
    <row r="32" spans="1:8" ht="15.75">
      <c r="A32" s="428"/>
      <c r="B32" s="419"/>
      <c r="C32" s="416"/>
      <c r="D32" s="416"/>
      <c r="E32" s="416"/>
      <c r="F32" s="416"/>
      <c r="G32" s="431"/>
      <c r="H32" s="416"/>
    </row>
    <row r="33" spans="1:8" ht="15.75">
      <c r="A33" s="428"/>
      <c r="B33" s="420"/>
      <c r="C33" s="416"/>
      <c r="D33" s="416"/>
      <c r="E33" s="416"/>
      <c r="F33" s="416"/>
      <c r="G33" s="431"/>
      <c r="H33" s="416"/>
    </row>
    <row r="34" spans="1:8" ht="15.75">
      <c r="A34" s="412"/>
      <c r="B34" s="413"/>
      <c r="C34" s="412"/>
      <c r="D34" s="412"/>
      <c r="E34" s="412"/>
      <c r="F34" s="412"/>
      <c r="G34" s="425"/>
      <c r="H34" s="412"/>
    </row>
    <row r="35" spans="1:8" ht="15.75">
      <c r="A35" s="428"/>
      <c r="B35" s="419"/>
      <c r="C35" s="429"/>
      <c r="D35" s="429"/>
      <c r="E35" s="429"/>
      <c r="F35" s="429"/>
      <c r="G35" s="432"/>
      <c r="H35" s="429"/>
    </row>
    <row r="37" spans="1:8">
      <c r="B37" s="595" t="s">
        <v>2026</v>
      </c>
      <c r="C37" s="595"/>
      <c r="D37" s="595"/>
      <c r="G37" s="596" t="s">
        <v>2027</v>
      </c>
      <c r="H37" s="597"/>
    </row>
  </sheetData>
  <mergeCells count="4">
    <mergeCell ref="A1:H1"/>
    <mergeCell ref="B2:D2"/>
    <mergeCell ref="B37:D37"/>
    <mergeCell ref="G37:H3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C23" sqref="C23"/>
    </sheetView>
  </sheetViews>
  <sheetFormatPr defaultColWidth="9" defaultRowHeight="20.100000000000001" customHeight="1"/>
  <cols>
    <col min="1" max="1" width="8.625" style="297" customWidth="1"/>
    <col min="2" max="2" width="16.25" style="297" customWidth="1"/>
    <col min="3" max="4" width="8.625" style="297" customWidth="1"/>
    <col min="5" max="5" width="43.875" style="297" customWidth="1"/>
    <col min="6" max="6" width="14.375" style="333" customWidth="1"/>
    <col min="7" max="7" width="12.875" style="297" customWidth="1"/>
    <col min="8" max="8" width="30.75" style="297" customWidth="1"/>
    <col min="9" max="9" width="20.25" style="297" customWidth="1"/>
    <col min="10" max="10" width="10.625" style="297" customWidth="1"/>
    <col min="11" max="11" width="13.75" style="297" customWidth="1"/>
    <col min="12" max="16" width="8.625" style="297" customWidth="1"/>
    <col min="17" max="26" width="12.625" style="297" customWidth="1"/>
    <col min="27" max="27" width="10.625" style="297" customWidth="1"/>
    <col min="28" max="16384" width="9" style="297"/>
  </cols>
  <sheetData>
    <row r="1" spans="1:15" ht="14.25">
      <c r="A1" s="227" t="s">
        <v>294</v>
      </c>
      <c r="B1" s="227" t="s">
        <v>292</v>
      </c>
      <c r="C1" s="227" t="s">
        <v>289</v>
      </c>
      <c r="D1" s="227" t="s">
        <v>288</v>
      </c>
      <c r="E1" s="360" t="s">
        <v>293</v>
      </c>
      <c r="F1" s="361"/>
      <c r="G1" s="361"/>
      <c r="H1" s="194"/>
      <c r="J1" s="470" t="s">
        <v>1817</v>
      </c>
      <c r="K1" s="471"/>
      <c r="L1" s="471"/>
    </row>
    <row r="2" spans="1:15" ht="14.25">
      <c r="A2" s="472" t="s">
        <v>1818</v>
      </c>
      <c r="B2" s="473"/>
      <c r="C2" s="473"/>
      <c r="D2" s="473"/>
      <c r="E2" s="474"/>
      <c r="F2" s="194" t="s">
        <v>1819</v>
      </c>
      <c r="G2" s="194" t="s">
        <v>1820</v>
      </c>
      <c r="H2" s="194" t="s">
        <v>1821</v>
      </c>
      <c r="I2" s="194"/>
      <c r="J2" s="471"/>
      <c r="K2" s="471"/>
      <c r="L2" s="471"/>
    </row>
    <row r="3" spans="1:15" ht="15.75">
      <c r="A3" s="294" t="s">
        <v>104</v>
      </c>
      <c r="B3" s="227" t="s">
        <v>1822</v>
      </c>
      <c r="C3" s="227" t="s">
        <v>1823</v>
      </c>
      <c r="D3" s="227" t="s">
        <v>1824</v>
      </c>
      <c r="E3" s="227" t="s">
        <v>1825</v>
      </c>
      <c r="F3" s="362">
        <f>5*5500</f>
        <v>27500</v>
      </c>
      <c r="G3" s="362">
        <v>20000</v>
      </c>
      <c r="H3" s="362">
        <v>20000</v>
      </c>
      <c r="I3" s="363" t="s">
        <v>1826</v>
      </c>
      <c r="K3" s="364">
        <v>3500</v>
      </c>
      <c r="L3" s="364">
        <v>1800000000</v>
      </c>
      <c r="N3" s="365" t="s">
        <v>1827</v>
      </c>
      <c r="O3" s="297">
        <v>4.1820000000000004</v>
      </c>
    </row>
    <row r="4" spans="1:15" ht="16.5">
      <c r="A4" s="294" t="s">
        <v>295</v>
      </c>
      <c r="B4" s="227" t="s">
        <v>1828</v>
      </c>
      <c r="C4" s="227" t="s">
        <v>1829</v>
      </c>
      <c r="D4" s="227" t="s">
        <v>1830</v>
      </c>
      <c r="E4" s="299" t="s">
        <v>141</v>
      </c>
      <c r="F4" s="366">
        <v>4600</v>
      </c>
      <c r="G4" s="366">
        <v>3000</v>
      </c>
      <c r="H4" s="366">
        <v>3000</v>
      </c>
      <c r="I4" s="363" t="s">
        <v>1826</v>
      </c>
    </row>
    <row r="5" spans="1:15" ht="14.25">
      <c r="A5" s="294" t="s">
        <v>296</v>
      </c>
      <c r="B5" s="227" t="s">
        <v>1831</v>
      </c>
      <c r="C5" s="227" t="s">
        <v>319</v>
      </c>
      <c r="D5" s="227" t="s">
        <v>287</v>
      </c>
      <c r="E5" s="227" t="s">
        <v>1605</v>
      </c>
      <c r="F5" s="367">
        <v>0.89</v>
      </c>
      <c r="G5" s="367"/>
      <c r="H5" s="367"/>
      <c r="I5" s="198" t="s">
        <v>1242</v>
      </c>
      <c r="N5" s="297">
        <f>1100*O3</f>
        <v>4600.2000000000007</v>
      </c>
    </row>
    <row r="6" spans="1:15" ht="15">
      <c r="A6" s="294" t="s">
        <v>297</v>
      </c>
      <c r="B6" s="227" t="s">
        <v>1832</v>
      </c>
      <c r="C6" s="308" t="s">
        <v>986</v>
      </c>
      <c r="D6" s="227" t="s">
        <v>283</v>
      </c>
      <c r="E6" s="368" t="s">
        <v>1833</v>
      </c>
      <c r="F6" s="317">
        <v>3.82</v>
      </c>
      <c r="G6" s="317"/>
      <c r="H6" s="317"/>
      <c r="I6" s="198" t="s">
        <v>1242</v>
      </c>
    </row>
    <row r="7" spans="1:15" ht="14.25">
      <c r="A7" s="294" t="s">
        <v>298</v>
      </c>
      <c r="B7" s="227" t="s">
        <v>1834</v>
      </c>
      <c r="C7" s="227" t="s">
        <v>1835</v>
      </c>
      <c r="D7" s="227" t="s">
        <v>1836</v>
      </c>
      <c r="E7" s="227" t="s">
        <v>44</v>
      </c>
      <c r="F7" s="317">
        <v>450</v>
      </c>
      <c r="G7" s="317"/>
      <c r="H7" s="317"/>
      <c r="I7" s="198" t="s">
        <v>1242</v>
      </c>
    </row>
    <row r="8" spans="1:15" ht="14.25">
      <c r="A8" s="294" t="s">
        <v>299</v>
      </c>
      <c r="B8" s="227" t="s">
        <v>1837</v>
      </c>
      <c r="C8" s="227" t="s">
        <v>1838</v>
      </c>
      <c r="D8" s="227" t="s">
        <v>1839</v>
      </c>
      <c r="E8" s="227" t="s">
        <v>1610</v>
      </c>
      <c r="F8" s="315" t="e">
        <f ca="1">H_PT(F6,F7)</f>
        <v>#NAME?</v>
      </c>
      <c r="G8" s="315"/>
      <c r="H8" s="315"/>
      <c r="I8" s="199" t="s">
        <v>1237</v>
      </c>
    </row>
    <row r="9" spans="1:15" ht="14.25">
      <c r="A9" s="294" t="s">
        <v>300</v>
      </c>
      <c r="B9" s="360" t="s">
        <v>355</v>
      </c>
      <c r="C9" s="360" t="s">
        <v>356</v>
      </c>
      <c r="D9" s="299"/>
      <c r="E9" s="227" t="s">
        <v>1840</v>
      </c>
      <c r="F9" s="369">
        <v>1.1499999999999999</v>
      </c>
      <c r="G9" s="369"/>
      <c r="H9" s="369"/>
      <c r="I9" s="198" t="s">
        <v>1238</v>
      </c>
    </row>
    <row r="10" spans="1:15" ht="14.25">
      <c r="A10" s="294" t="s">
        <v>301</v>
      </c>
      <c r="B10" s="360" t="s">
        <v>1233</v>
      </c>
      <c r="C10" s="360" t="s">
        <v>137</v>
      </c>
      <c r="D10" s="227" t="s">
        <v>99</v>
      </c>
      <c r="E10" s="299" t="s">
        <v>1605</v>
      </c>
      <c r="F10" s="370">
        <v>20</v>
      </c>
      <c r="G10" s="370"/>
      <c r="H10" s="370"/>
      <c r="I10" s="200" t="s">
        <v>1598</v>
      </c>
      <c r="K10" s="297" t="e">
        <f>#REF!</f>
        <v>#REF!</v>
      </c>
    </row>
    <row r="11" spans="1:15" ht="15.75">
      <c r="A11" s="294" t="s">
        <v>302</v>
      </c>
      <c r="B11" s="295" t="s">
        <v>1841</v>
      </c>
      <c r="C11" s="360" t="s">
        <v>1842</v>
      </c>
      <c r="D11" s="227" t="s">
        <v>1830</v>
      </c>
      <c r="E11" s="299" t="s">
        <v>1610</v>
      </c>
      <c r="F11" s="371">
        <v>25.974</v>
      </c>
      <c r="G11" s="371"/>
      <c r="H11" s="371"/>
      <c r="I11" s="199" t="s">
        <v>1237</v>
      </c>
    </row>
    <row r="12" spans="1:15" ht="15.75">
      <c r="A12" s="294" t="s">
        <v>303</v>
      </c>
      <c r="B12" s="360" t="s">
        <v>1843</v>
      </c>
      <c r="C12" s="360" t="s">
        <v>1844</v>
      </c>
      <c r="D12" s="227" t="s">
        <v>1824</v>
      </c>
      <c r="E12" s="305" t="s">
        <v>1845</v>
      </c>
      <c r="F12" s="369">
        <f>0.209*F4*F3*F9/1000</f>
        <v>30404.274999999998</v>
      </c>
      <c r="G12" s="369"/>
      <c r="H12" s="369"/>
      <c r="I12" s="201" t="s">
        <v>1239</v>
      </c>
    </row>
    <row r="13" spans="1:15" ht="16.5">
      <c r="A13" s="294" t="s">
        <v>304</v>
      </c>
      <c r="B13" s="295" t="s">
        <v>1846</v>
      </c>
      <c r="C13" s="295" t="s">
        <v>1847</v>
      </c>
      <c r="D13" s="227" t="s">
        <v>99</v>
      </c>
      <c r="E13" s="372" t="s">
        <v>1848</v>
      </c>
      <c r="F13" s="373">
        <v>104</v>
      </c>
      <c r="G13" s="373"/>
      <c r="H13" s="373"/>
      <c r="I13" s="198" t="s">
        <v>1242</v>
      </c>
    </row>
    <row r="14" spans="1:15" ht="16.5">
      <c r="A14" s="294" t="s">
        <v>305</v>
      </c>
      <c r="B14" s="295" t="s">
        <v>1849</v>
      </c>
      <c r="C14" s="295" t="s">
        <v>1850</v>
      </c>
      <c r="D14" s="227" t="s">
        <v>1839</v>
      </c>
      <c r="E14" s="299" t="s">
        <v>1610</v>
      </c>
      <c r="F14" s="296" t="e">
        <f ca="1">H_PT(F6,F13)</f>
        <v>#NAME?</v>
      </c>
      <c r="G14" s="296"/>
      <c r="H14" s="296"/>
      <c r="I14" s="199" t="s">
        <v>1237</v>
      </c>
    </row>
    <row r="15" spans="1:15" ht="14.25">
      <c r="A15" s="294" t="s">
        <v>306</v>
      </c>
      <c r="B15" s="295" t="s">
        <v>1851</v>
      </c>
      <c r="C15" s="295" t="s">
        <v>1852</v>
      </c>
      <c r="D15" s="227" t="s">
        <v>287</v>
      </c>
      <c r="E15" s="227" t="s">
        <v>1853</v>
      </c>
      <c r="F15" s="367">
        <v>0.02</v>
      </c>
      <c r="G15" s="367"/>
      <c r="H15" s="367"/>
      <c r="I15" s="200" t="s">
        <v>1598</v>
      </c>
    </row>
    <row r="16" spans="1:15" ht="16.5">
      <c r="A16" s="294" t="s">
        <v>307</v>
      </c>
      <c r="B16" s="295" t="s">
        <v>1854</v>
      </c>
      <c r="C16" s="295" t="s">
        <v>1855</v>
      </c>
      <c r="D16" s="227" t="s">
        <v>99</v>
      </c>
      <c r="E16" s="227" t="s">
        <v>1856</v>
      </c>
      <c r="F16" s="315" t="e">
        <f ca="1">T_P(F6)</f>
        <v>#NAME?</v>
      </c>
      <c r="G16" s="315"/>
      <c r="H16" s="315"/>
      <c r="I16" s="199" t="s">
        <v>1237</v>
      </c>
    </row>
    <row r="17" spans="1:9" ht="16.5">
      <c r="A17" s="294" t="s">
        <v>308</v>
      </c>
      <c r="B17" s="295" t="s">
        <v>1857</v>
      </c>
      <c r="C17" s="295" t="s">
        <v>1858</v>
      </c>
      <c r="D17" s="227" t="s">
        <v>1830</v>
      </c>
      <c r="E17" s="227" t="s">
        <v>1859</v>
      </c>
      <c r="F17" s="315" t="e">
        <f ca="1">HL_P(F6)</f>
        <v>#NAME?</v>
      </c>
      <c r="G17" s="315"/>
      <c r="H17" s="315"/>
      <c r="I17" s="199" t="s">
        <v>1237</v>
      </c>
    </row>
    <row r="18" spans="1:9" ht="33">
      <c r="A18" s="374" t="s">
        <v>1860</v>
      </c>
      <c r="B18" s="295" t="s">
        <v>1861</v>
      </c>
      <c r="C18" s="295" t="s">
        <v>1606</v>
      </c>
      <c r="D18" s="304" t="s">
        <v>286</v>
      </c>
      <c r="E18" s="375" t="s">
        <v>1862</v>
      </c>
      <c r="F18" s="376" t="e">
        <f ca="1">(F12*F11+F3*F4+H3*H4)*F5/(1000*((F8-F14)+F15*(F17-F14)))</f>
        <v>#NAME?</v>
      </c>
      <c r="G18" s="376"/>
      <c r="H18" s="376"/>
      <c r="I18" s="201" t="s">
        <v>1239</v>
      </c>
    </row>
  </sheetData>
  <mergeCells count="2">
    <mergeCell ref="J1:L2"/>
    <mergeCell ref="A2:E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12"/>
  <sheetViews>
    <sheetView topLeftCell="A37" workbookViewId="0">
      <selection activeCell="H82" sqref="H82"/>
    </sheetView>
  </sheetViews>
  <sheetFormatPr defaultColWidth="9" defaultRowHeight="20.100000000000001" customHeight="1"/>
  <cols>
    <col min="1" max="1" width="8.625" style="297" customWidth="1"/>
    <col min="2" max="2" width="16.25" style="297" customWidth="1"/>
    <col min="3" max="4" width="8.625" style="297" customWidth="1"/>
    <col min="5" max="5" width="43.875" style="297" customWidth="1"/>
    <col min="6" max="6" width="14.375" style="333" customWidth="1"/>
    <col min="7" max="7" width="12.875" style="297" customWidth="1"/>
    <col min="8" max="8" width="30.75" style="297" customWidth="1"/>
    <col min="9" max="9" width="20.25" style="297" customWidth="1"/>
    <col min="10" max="10" width="10.625" style="297" customWidth="1"/>
    <col min="11" max="11" width="13.75" style="297" customWidth="1"/>
    <col min="12" max="16" width="8.625" style="297" customWidth="1"/>
    <col min="17" max="26" width="12.625" style="297" customWidth="1"/>
    <col min="27" max="27" width="10.625" style="297" customWidth="1"/>
    <col min="28" max="16384" width="9" style="297"/>
  </cols>
  <sheetData>
    <row r="1" spans="1:21" s="293" customFormat="1" ht="14.25">
      <c r="A1" s="476" t="s">
        <v>1595</v>
      </c>
      <c r="B1" s="477"/>
      <c r="C1" s="477"/>
      <c r="D1" s="477"/>
      <c r="E1" s="477"/>
      <c r="F1" s="478"/>
    </row>
    <row r="2" spans="1:21" ht="18.75">
      <c r="A2" s="294" t="s">
        <v>104</v>
      </c>
      <c r="B2" s="295" t="s">
        <v>1596</v>
      </c>
      <c r="C2" s="295" t="s">
        <v>1597</v>
      </c>
      <c r="D2" s="295"/>
      <c r="E2" s="295" t="s">
        <v>141</v>
      </c>
      <c r="F2" s="296">
        <v>0.82</v>
      </c>
      <c r="G2" s="296"/>
      <c r="H2" s="200" t="s">
        <v>1598</v>
      </c>
      <c r="J2" s="470" t="s">
        <v>1599</v>
      </c>
      <c r="K2" s="471"/>
    </row>
    <row r="3" spans="1:21" ht="18.75">
      <c r="A3" s="294" t="s">
        <v>295</v>
      </c>
      <c r="B3" s="295" t="s">
        <v>1600</v>
      </c>
      <c r="C3" s="295" t="s">
        <v>1601</v>
      </c>
      <c r="D3" s="295"/>
      <c r="E3" s="295" t="s">
        <v>141</v>
      </c>
      <c r="F3" s="296">
        <v>0.95</v>
      </c>
      <c r="G3" s="296"/>
      <c r="H3" s="200" t="s">
        <v>1598</v>
      </c>
      <c r="J3" s="471"/>
      <c r="K3" s="471"/>
    </row>
    <row r="4" spans="1:21" ht="18.75">
      <c r="A4" s="294" t="s">
        <v>296</v>
      </c>
      <c r="B4" s="295" t="s">
        <v>1602</v>
      </c>
      <c r="C4" s="295" t="s">
        <v>1603</v>
      </c>
      <c r="D4" s="295"/>
      <c r="E4" s="295" t="s">
        <v>141</v>
      </c>
      <c r="F4" s="298">
        <v>0.97299999999999998</v>
      </c>
      <c r="G4" s="298"/>
      <c r="H4" s="200" t="s">
        <v>1598</v>
      </c>
    </row>
    <row r="5" spans="1:21" ht="14.25">
      <c r="A5" s="294" t="s">
        <v>297</v>
      </c>
      <c r="B5" s="295" t="s">
        <v>1604</v>
      </c>
      <c r="C5" s="295"/>
      <c r="D5" s="227" t="s">
        <v>283</v>
      </c>
      <c r="E5" s="299" t="s">
        <v>1605</v>
      </c>
      <c r="F5" s="300">
        <v>3.43</v>
      </c>
      <c r="G5" s="300"/>
      <c r="H5" s="198" t="s">
        <v>1242</v>
      </c>
      <c r="I5" s="301">
        <v>8.8000000000000007</v>
      </c>
      <c r="J5" s="301">
        <v>3.8</v>
      </c>
      <c r="K5" s="301">
        <v>1.2</v>
      </c>
      <c r="L5" s="301">
        <v>3.6</v>
      </c>
      <c r="M5" s="301">
        <v>1</v>
      </c>
      <c r="N5" s="301">
        <v>0.4</v>
      </c>
    </row>
    <row r="6" spans="1:21" ht="14.25">
      <c r="A6" s="294" t="s">
        <v>298</v>
      </c>
      <c r="B6" s="302" t="s">
        <v>1266</v>
      </c>
      <c r="C6" s="295"/>
      <c r="D6" s="227" t="s">
        <v>99</v>
      </c>
      <c r="E6" s="299" t="s">
        <v>44</v>
      </c>
      <c r="F6" s="300">
        <v>435</v>
      </c>
      <c r="G6" s="300"/>
      <c r="H6" s="198" t="s">
        <v>1242</v>
      </c>
      <c r="I6" s="301">
        <v>535</v>
      </c>
      <c r="J6" s="297" t="e">
        <f ca="1">T_PS('[10]原则性热力系统锅炉部分--无高加'!$J$23,'[10]原则性热力系统锅炉部分--无高加'!$I$26)</f>
        <v>#NAME?</v>
      </c>
      <c r="K6" s="297" t="e">
        <f ca="1">T_PS(K5,'[10]原则性热力系统锅炉部分--无高加'!$I$26)</f>
        <v>#NAME?</v>
      </c>
      <c r="N6" s="297" t="e">
        <f ca="1">T_P('[10]原则性热力系统锅炉部分--无高加'!$N$23)</f>
        <v>#NAME?</v>
      </c>
    </row>
    <row r="7" spans="1:21" ht="14.25">
      <c r="A7" s="294" t="s">
        <v>299</v>
      </c>
      <c r="B7" s="303" t="s">
        <v>403</v>
      </c>
      <c r="C7" s="295" t="s">
        <v>1606</v>
      </c>
      <c r="D7" s="304" t="s">
        <v>286</v>
      </c>
      <c r="E7" s="305" t="s">
        <v>1607</v>
      </c>
      <c r="F7" s="296" t="e">
        <f>(#REF!)*(1-F25)</f>
        <v>#REF!</v>
      </c>
      <c r="G7" s="296"/>
      <c r="H7" s="201" t="s">
        <v>1239</v>
      </c>
      <c r="I7" s="297">
        <v>300</v>
      </c>
      <c r="J7" s="297">
        <v>100</v>
      </c>
      <c r="K7" s="297">
        <f>I7-J7</f>
        <v>200</v>
      </c>
    </row>
    <row r="8" spans="1:21" ht="14.25">
      <c r="A8" s="294" t="s">
        <v>300</v>
      </c>
      <c r="B8" s="302" t="s">
        <v>1608</v>
      </c>
      <c r="C8" s="295"/>
      <c r="D8" s="227" t="s">
        <v>1609</v>
      </c>
      <c r="E8" s="299" t="s">
        <v>1610</v>
      </c>
      <c r="F8" s="306" t="e">
        <f ca="1">S_PT(F5,F6)</f>
        <v>#NAME?</v>
      </c>
      <c r="G8" s="306"/>
      <c r="H8" s="199" t="s">
        <v>1611</v>
      </c>
      <c r="I8" s="306" t="e">
        <f ca="1">S_PT(I5,I6)</f>
        <v>#NAME?</v>
      </c>
      <c r="J8" s="306" t="e">
        <f ca="1">S_PT(J5,J6)</f>
        <v>#NAME?</v>
      </c>
      <c r="K8" s="306" t="e">
        <f ca="1">S_PT(K5,K6)</f>
        <v>#NAME?</v>
      </c>
    </row>
    <row r="9" spans="1:21" ht="14.25">
      <c r="A9" s="294" t="s">
        <v>301</v>
      </c>
      <c r="B9" s="303" t="s">
        <v>1612</v>
      </c>
      <c r="C9" s="299" t="s">
        <v>1613</v>
      </c>
      <c r="D9" s="227" t="s">
        <v>1614</v>
      </c>
      <c r="E9" s="227" t="s">
        <v>1615</v>
      </c>
      <c r="F9" s="298" t="e">
        <f ca="1">H_PT('[10]原则性热力系统锅炉部分--无高加'!$F$23,'[10]原则性热力系统锅炉部分--无高加'!$F$24)</f>
        <v>#NAME?</v>
      </c>
      <c r="G9" s="298"/>
      <c r="H9" s="199" t="s">
        <v>1611</v>
      </c>
      <c r="I9" s="298" t="e">
        <f ca="1">H_PT(I5,I6)</f>
        <v>#NAME?</v>
      </c>
      <c r="J9" s="297" t="e">
        <f ca="1">H_PS('[10]原则性热力系统锅炉部分--无高加'!$J$23,'[10]原则性热力系统锅炉部分--无高加'!$I$26)</f>
        <v>#NAME?</v>
      </c>
      <c r="K9" s="297" t="e">
        <f ca="1">H_PS(K5,'[10]原则性热力系统锅炉部分--无高加'!$I$26)</f>
        <v>#NAME?</v>
      </c>
    </row>
    <row r="10" spans="1:21" ht="15">
      <c r="A10" s="294" t="s">
        <v>302</v>
      </c>
      <c r="B10" s="307" t="s">
        <v>1616</v>
      </c>
      <c r="C10" s="308" t="s">
        <v>1617</v>
      </c>
      <c r="D10" s="227" t="s">
        <v>1618</v>
      </c>
      <c r="E10" s="227" t="s">
        <v>1619</v>
      </c>
      <c r="F10" s="309">
        <v>0.35</v>
      </c>
      <c r="G10" s="309"/>
      <c r="H10" s="198" t="s">
        <v>1620</v>
      </c>
      <c r="I10" s="297" t="e">
        <f ca="1">0.9*F2*F3*F4/3.6*(I7*(I9-J9)+(I7-J7)*(J9-K9))</f>
        <v>#NAME?</v>
      </c>
      <c r="J10" s="297" t="e">
        <f ca="1">0.9*F2*F3*F4/3.6*(I7*(I9-K9))</f>
        <v>#NAME?</v>
      </c>
    </row>
    <row r="11" spans="1:21" ht="14.25">
      <c r="A11" s="294" t="s">
        <v>303</v>
      </c>
      <c r="B11" s="302" t="s">
        <v>1621</v>
      </c>
      <c r="C11" s="295"/>
      <c r="D11" s="227" t="s">
        <v>1622</v>
      </c>
      <c r="E11" s="299" t="s">
        <v>1619</v>
      </c>
      <c r="F11" s="310" t="e">
        <f ca="1">T_P('[10]原则性热力系统锅炉部分--无高加'!$F$28)</f>
        <v>#NAME?</v>
      </c>
      <c r="G11" s="310"/>
      <c r="H11" s="199" t="s">
        <v>1611</v>
      </c>
      <c r="I11" s="311" t="s">
        <v>1623</v>
      </c>
    </row>
    <row r="12" spans="1:21" ht="14.25">
      <c r="A12" s="294" t="s">
        <v>304</v>
      </c>
      <c r="B12" s="312" t="s">
        <v>1624</v>
      </c>
      <c r="C12" s="299" t="s">
        <v>1625</v>
      </c>
      <c r="D12" s="227" t="s">
        <v>1626</v>
      </c>
      <c r="E12" s="227" t="s">
        <v>1627</v>
      </c>
      <c r="F12" s="298" t="e">
        <f ca="1">SG_P('[10]原则性热力系统锅炉部分--无高加'!$F$28)</f>
        <v>#NAME?</v>
      </c>
      <c r="G12" s="298"/>
      <c r="H12" s="199" t="s">
        <v>1611</v>
      </c>
      <c r="R12" s="297">
        <f>S12-S13</f>
        <v>37.300000000000011</v>
      </c>
      <c r="S12" s="297">
        <v>246</v>
      </c>
      <c r="T12" s="297">
        <v>1065.9000000000001</v>
      </c>
      <c r="U12" s="297">
        <f>T12-T13</f>
        <v>142.90000000000009</v>
      </c>
    </row>
    <row r="13" spans="1:21" ht="14.25">
      <c r="A13" s="294" t="s">
        <v>305</v>
      </c>
      <c r="B13" s="312" t="s">
        <v>1612</v>
      </c>
      <c r="C13" s="299" t="s">
        <v>1628</v>
      </c>
      <c r="D13" s="227" t="s">
        <v>1614</v>
      </c>
      <c r="E13" s="227" t="s">
        <v>1615</v>
      </c>
      <c r="F13" s="298" t="e">
        <f ca="1">H_PS('[10]原则性热力系统锅炉部分--无高加'!$F$28,'[10]原则性热力系统锅炉部分--无高加'!$F$30)</f>
        <v>#NAME?</v>
      </c>
      <c r="G13" s="298"/>
      <c r="H13" s="199" t="s">
        <v>1611</v>
      </c>
      <c r="R13" s="297">
        <f>S13-S15</f>
        <v>17.5</v>
      </c>
      <c r="S13" s="297">
        <v>208.7</v>
      </c>
      <c r="T13" s="297">
        <v>923</v>
      </c>
      <c r="U13" s="297">
        <f>T13-T15</f>
        <v>110</v>
      </c>
    </row>
    <row r="14" spans="1:21" ht="14.25">
      <c r="A14" s="294" t="s">
        <v>306</v>
      </c>
      <c r="B14" s="312" t="s">
        <v>1612</v>
      </c>
      <c r="C14" s="299" t="s">
        <v>1628</v>
      </c>
      <c r="D14" s="227" t="s">
        <v>1614</v>
      </c>
      <c r="E14" s="227" t="s">
        <v>1615</v>
      </c>
      <c r="F14" s="298" t="e">
        <f ca="1">H_PS('[10]原则性热力系统锅炉部分--无高加'!$F$28,'[10]原则性热力系统锅炉部分--无高加'!$F$26)</f>
        <v>#NAME?</v>
      </c>
      <c r="G14" s="298"/>
      <c r="H14" s="199" t="s">
        <v>1611</v>
      </c>
      <c r="R14" s="297">
        <f>S14-S16</f>
        <v>208.7</v>
      </c>
      <c r="S14" s="297">
        <v>208.7</v>
      </c>
      <c r="T14" s="297">
        <v>923</v>
      </c>
      <c r="U14" s="297">
        <f>T14-T16</f>
        <v>923</v>
      </c>
    </row>
    <row r="15" spans="1:21" ht="14.25">
      <c r="A15" s="294" t="s">
        <v>307</v>
      </c>
      <c r="B15" s="303" t="s">
        <v>1629</v>
      </c>
      <c r="C15" s="295" t="s">
        <v>1630</v>
      </c>
      <c r="D15" s="304" t="s">
        <v>1631</v>
      </c>
      <c r="E15" s="313" t="s">
        <v>1632</v>
      </c>
      <c r="F15" s="314">
        <v>0</v>
      </c>
      <c r="G15" s="314"/>
      <c r="H15" s="201" t="s">
        <v>1633</v>
      </c>
      <c r="I15" s="311" t="s">
        <v>1634</v>
      </c>
      <c r="R15" s="297">
        <f>S15-S20</f>
        <v>32.199999999999989</v>
      </c>
      <c r="S15" s="297">
        <v>191.2</v>
      </c>
      <c r="T15" s="297">
        <v>813</v>
      </c>
      <c r="U15" s="297">
        <f>T15-T20</f>
        <v>141.70000000000005</v>
      </c>
    </row>
    <row r="16" spans="1:21" s="195" customFormat="1" ht="14.25">
      <c r="A16" s="294" t="s">
        <v>308</v>
      </c>
      <c r="B16" s="299" t="s">
        <v>1635</v>
      </c>
      <c r="C16" s="299" t="s">
        <v>1636</v>
      </c>
      <c r="D16" s="304" t="s">
        <v>1631</v>
      </c>
      <c r="E16" s="227" t="s">
        <v>1637</v>
      </c>
      <c r="F16" s="296" t="e">
        <f>F7+F15</f>
        <v>#REF!</v>
      </c>
      <c r="G16" s="296"/>
      <c r="H16" s="201" t="s">
        <v>1633</v>
      </c>
    </row>
    <row r="17" spans="1:28" s="195" customFormat="1" ht="15">
      <c r="A17" s="294" t="s">
        <v>309</v>
      </c>
      <c r="B17" s="303" t="s">
        <v>1638</v>
      </c>
      <c r="C17" s="308" t="s">
        <v>1617</v>
      </c>
      <c r="D17" s="227" t="s">
        <v>1618</v>
      </c>
      <c r="E17" s="227"/>
      <c r="F17" s="298">
        <f>F10</f>
        <v>0.35</v>
      </c>
      <c r="G17" s="298"/>
      <c r="H17" s="201" t="s">
        <v>1633</v>
      </c>
    </row>
    <row r="18" spans="1:28" s="195" customFormat="1" ht="16.5">
      <c r="A18" s="294" t="s">
        <v>311</v>
      </c>
      <c r="B18" s="303" t="s">
        <v>1612</v>
      </c>
      <c r="C18" s="299" t="s">
        <v>1639</v>
      </c>
      <c r="D18" s="227" t="s">
        <v>1614</v>
      </c>
      <c r="E18" s="227" t="s">
        <v>1640</v>
      </c>
      <c r="F18" s="315" t="e">
        <f ca="1">(F7*F14+F15*F13)/(F16)</f>
        <v>#REF!</v>
      </c>
      <c r="G18" s="315"/>
      <c r="H18" s="201" t="s">
        <v>1633</v>
      </c>
    </row>
    <row r="19" spans="1:28" s="195" customFormat="1" ht="16.5">
      <c r="A19" s="294" t="s">
        <v>322</v>
      </c>
      <c r="B19" s="303" t="s">
        <v>1624</v>
      </c>
      <c r="C19" s="299" t="s">
        <v>1641</v>
      </c>
      <c r="D19" s="227" t="s">
        <v>1626</v>
      </c>
      <c r="E19" s="227" t="s">
        <v>1615</v>
      </c>
      <c r="F19" s="316" t="e">
        <f ca="1">F8</f>
        <v>#NAME?</v>
      </c>
      <c r="G19" s="316"/>
      <c r="H19" s="201" t="s">
        <v>1633</v>
      </c>
      <c r="I19" s="311" t="s">
        <v>1642</v>
      </c>
    </row>
    <row r="20" spans="1:28" ht="20.100000000000001" customHeight="1">
      <c r="A20" s="294" t="s">
        <v>323</v>
      </c>
      <c r="B20" s="295" t="s">
        <v>1643</v>
      </c>
      <c r="C20" s="299" t="s">
        <v>1644</v>
      </c>
      <c r="D20" s="304" t="s">
        <v>1618</v>
      </c>
      <c r="E20" s="227" t="s">
        <v>1645</v>
      </c>
      <c r="F20" s="317">
        <v>8.9999999999999993E-3</v>
      </c>
      <c r="G20" s="317"/>
      <c r="H20" s="198" t="s">
        <v>1620</v>
      </c>
      <c r="R20" s="297">
        <f>S20-S21</f>
        <v>22</v>
      </c>
      <c r="S20" s="297">
        <v>159</v>
      </c>
      <c r="T20" s="297">
        <v>671.3</v>
      </c>
      <c r="U20" s="297">
        <f>T20-T21</f>
        <v>95</v>
      </c>
    </row>
    <row r="21" spans="1:28" ht="20.100000000000001" customHeight="1">
      <c r="A21" s="294" t="s">
        <v>324</v>
      </c>
      <c r="B21" s="302" t="s">
        <v>1612</v>
      </c>
      <c r="C21" s="299" t="s">
        <v>1646</v>
      </c>
      <c r="D21" s="227" t="s">
        <v>1614</v>
      </c>
      <c r="E21" s="227" t="s">
        <v>1647</v>
      </c>
      <c r="F21" s="315" t="e">
        <f ca="1">H_PS('[10]原则性热力系统锅炉部分--无高加'!$F$38,'[10]原则性热力系统锅炉部分--无高加'!$F$26)</f>
        <v>#NAME?</v>
      </c>
      <c r="G21" s="315"/>
      <c r="H21" s="199" t="s">
        <v>1611</v>
      </c>
      <c r="R21" s="297">
        <f>S21-S22</f>
        <v>16.700000000000003</v>
      </c>
      <c r="S21" s="297">
        <v>137</v>
      </c>
      <c r="T21" s="297">
        <v>576.29999999999995</v>
      </c>
      <c r="U21" s="297">
        <f>T21-T22</f>
        <v>71.299999999999955</v>
      </c>
    </row>
    <row r="22" spans="1:28" ht="20.100000000000001" customHeight="1">
      <c r="A22" s="294" t="s">
        <v>312</v>
      </c>
      <c r="B22" s="227" t="s">
        <v>1648</v>
      </c>
      <c r="C22" s="227" t="s">
        <v>1649</v>
      </c>
      <c r="D22" s="227" t="s">
        <v>1650</v>
      </c>
      <c r="E22" s="194"/>
      <c r="F22" s="224" t="e">
        <f ca="1">F2*F3*F4/3.6*(F7*F9+F15*F13-(F7+F15)*F21)</f>
        <v>#REF!</v>
      </c>
      <c r="G22" s="224"/>
      <c r="H22" s="201" t="s">
        <v>1633</v>
      </c>
      <c r="R22" s="297">
        <f>S22-S23</f>
        <v>31.799999999999997</v>
      </c>
      <c r="S22" s="297">
        <v>120.3</v>
      </c>
      <c r="T22" s="297">
        <v>505</v>
      </c>
      <c r="U22" s="297">
        <f>T22-T23</f>
        <v>134.5</v>
      </c>
    </row>
    <row r="23" spans="1:28" ht="20.100000000000001" customHeight="1">
      <c r="A23" s="294" t="s">
        <v>313</v>
      </c>
      <c r="B23" s="318" t="s">
        <v>1651</v>
      </c>
      <c r="C23" s="227" t="s">
        <v>1649</v>
      </c>
      <c r="D23" s="227" t="s">
        <v>1652</v>
      </c>
      <c r="E23" s="194" t="s">
        <v>1653</v>
      </c>
      <c r="F23" s="224" t="e">
        <f ca="1">0.9*F22/1000</f>
        <v>#REF!</v>
      </c>
      <c r="G23" s="224"/>
      <c r="H23" s="201" t="s">
        <v>1633</v>
      </c>
      <c r="I23" s="311" t="s">
        <v>1654</v>
      </c>
      <c r="R23" s="297">
        <f>S23-W24</f>
        <v>35.5</v>
      </c>
      <c r="S23" s="297">
        <v>88.5</v>
      </c>
      <c r="T23" s="297">
        <v>370.5</v>
      </c>
      <c r="U23" s="297">
        <f>T23-X24</f>
        <v>148.6</v>
      </c>
    </row>
    <row r="24" spans="1:28" ht="20.100000000000001" customHeight="1">
      <c r="A24" s="294" t="s">
        <v>314</v>
      </c>
      <c r="B24" s="318" t="s">
        <v>1655</v>
      </c>
      <c r="C24" s="227" t="s">
        <v>1649</v>
      </c>
      <c r="D24" s="227" t="s">
        <v>1652</v>
      </c>
      <c r="E24" s="196"/>
      <c r="F24" s="319">
        <v>7</v>
      </c>
      <c r="H24" s="198" t="s">
        <v>1620</v>
      </c>
      <c r="V24" s="297">
        <f>W24-W25</f>
        <v>53</v>
      </c>
      <c r="W24" s="297">
        <v>53</v>
      </c>
      <c r="X24" s="297">
        <v>221.9</v>
      </c>
      <c r="Y24" s="297">
        <f>X24-X25</f>
        <v>221.9</v>
      </c>
    </row>
    <row r="25" spans="1:28" ht="20.100000000000001" customHeight="1">
      <c r="A25" s="294" t="s">
        <v>315</v>
      </c>
      <c r="B25" s="320" t="s">
        <v>1656</v>
      </c>
      <c r="C25" s="321"/>
      <c r="D25" s="321"/>
      <c r="E25" s="322"/>
      <c r="F25" s="323">
        <v>0.03</v>
      </c>
      <c r="H25" s="200" t="s">
        <v>1657</v>
      </c>
    </row>
    <row r="26" spans="1:28" ht="20.100000000000001" customHeight="1">
      <c r="A26" s="479" t="s">
        <v>1658</v>
      </c>
      <c r="B26" s="480"/>
      <c r="C26" s="480"/>
      <c r="D26" s="480"/>
      <c r="E26" s="480"/>
      <c r="F26" s="480"/>
      <c r="G26" s="480"/>
      <c r="H26" s="480"/>
      <c r="I26" s="480"/>
      <c r="J26" s="480"/>
      <c r="K26" s="481"/>
    </row>
    <row r="27" spans="1:28" ht="20.100000000000001" customHeight="1">
      <c r="A27" s="482" t="s">
        <v>1659</v>
      </c>
      <c r="B27" s="483"/>
      <c r="C27" s="483"/>
      <c r="D27" s="483"/>
      <c r="E27" s="483"/>
      <c r="F27" s="483"/>
      <c r="G27" s="483"/>
      <c r="H27" s="483"/>
      <c r="I27" s="483"/>
      <c r="J27" s="483"/>
      <c r="K27" s="484"/>
    </row>
    <row r="28" spans="1:28" s="327" customFormat="1" ht="34.5" customHeight="1">
      <c r="A28" s="324" t="s">
        <v>1660</v>
      </c>
      <c r="B28" s="325" t="s">
        <v>1661</v>
      </c>
      <c r="C28" s="325" t="s">
        <v>1662</v>
      </c>
      <c r="D28" s="325" t="s">
        <v>1663</v>
      </c>
      <c r="E28" s="325" t="s">
        <v>1664</v>
      </c>
      <c r="F28" s="326" t="s">
        <v>1665</v>
      </c>
      <c r="G28" s="324" t="s">
        <v>1666</v>
      </c>
      <c r="H28" s="324" t="s">
        <v>1667</v>
      </c>
      <c r="I28" s="324" t="s">
        <v>1668</v>
      </c>
      <c r="J28" s="324" t="s">
        <v>1669</v>
      </c>
      <c r="K28" s="324" t="s">
        <v>1670</v>
      </c>
      <c r="L28" s="297"/>
      <c r="M28" s="297"/>
      <c r="N28" s="297"/>
      <c r="X28" s="327" t="e">
        <f ca="1">HL_T('[10]原则性热力系统锅炉部分--无高加'!$X$47)</f>
        <v>#NAME?</v>
      </c>
    </row>
    <row r="29" spans="1:28" s="327" customFormat="1" ht="21.75" customHeight="1">
      <c r="A29" s="324" t="s">
        <v>1671</v>
      </c>
      <c r="B29" s="325" t="s">
        <v>1672</v>
      </c>
      <c r="C29" s="325" t="s">
        <v>1673</v>
      </c>
      <c r="D29" s="325" t="s">
        <v>1674</v>
      </c>
      <c r="E29" s="325" t="s">
        <v>1675</v>
      </c>
      <c r="F29" s="326" t="s">
        <v>1676</v>
      </c>
      <c r="G29" s="324" t="s">
        <v>1677</v>
      </c>
      <c r="H29" s="324" t="s">
        <v>1678</v>
      </c>
      <c r="I29" s="324" t="s">
        <v>1679</v>
      </c>
      <c r="J29" s="324" t="s">
        <v>1680</v>
      </c>
      <c r="K29" s="324" t="s">
        <v>1681</v>
      </c>
      <c r="V29" s="327">
        <f t="shared" ref="V29:V35" si="0">W29-W30</f>
        <v>148.60000000000014</v>
      </c>
      <c r="W29" s="327">
        <v>1193.4000000000001</v>
      </c>
      <c r="X29" s="327">
        <v>272.5</v>
      </c>
      <c r="Y29" s="327">
        <f t="shared" ref="Y29:Y35" si="1">X29-X30</f>
        <v>31.5</v>
      </c>
      <c r="AA29" s="327">
        <v>3137.5</v>
      </c>
      <c r="AB29" s="327">
        <f t="shared" ref="AB29:AB35" si="2">AA29-AA30</f>
        <v>117.5</v>
      </c>
    </row>
    <row r="30" spans="1:28" s="327" customFormat="1" ht="19.5" customHeight="1">
      <c r="A30" s="324" t="s">
        <v>1682</v>
      </c>
      <c r="B30" s="325" t="s">
        <v>1622</v>
      </c>
      <c r="C30" s="325" t="s">
        <v>1683</v>
      </c>
      <c r="D30" s="325" t="s">
        <v>1622</v>
      </c>
      <c r="E30" s="325" t="s">
        <v>1622</v>
      </c>
      <c r="F30" s="325" t="s">
        <v>1622</v>
      </c>
      <c r="G30" s="324" t="s">
        <v>1618</v>
      </c>
      <c r="H30" s="324" t="s">
        <v>1618</v>
      </c>
      <c r="I30" s="324" t="s">
        <v>1618</v>
      </c>
      <c r="J30" s="325" t="s">
        <v>1683</v>
      </c>
      <c r="K30" s="324" t="s">
        <v>1631</v>
      </c>
      <c r="V30" s="327">
        <f t="shared" si="0"/>
        <v>186.29999999999995</v>
      </c>
      <c r="W30" s="327">
        <v>1044.8</v>
      </c>
      <c r="X30" s="327">
        <v>241</v>
      </c>
      <c r="Y30" s="327">
        <f t="shared" si="1"/>
        <v>41.400000000000006</v>
      </c>
      <c r="AA30" s="327">
        <v>3020</v>
      </c>
      <c r="AB30" s="327">
        <f t="shared" si="2"/>
        <v>-305</v>
      </c>
    </row>
    <row r="31" spans="1:28" s="333" customFormat="1" ht="20.100000000000001" customHeight="1">
      <c r="A31" s="328" t="s">
        <v>1684</v>
      </c>
      <c r="B31" s="329">
        <v>150</v>
      </c>
      <c r="C31" s="330" t="e">
        <f ca="1">HL_T('[10]原则性热力系统锅炉部分--无高加'!$B$49)</f>
        <v>#NAME?</v>
      </c>
      <c r="D31" s="331">
        <v>2.8</v>
      </c>
      <c r="E31" s="330">
        <f>B31+D31</f>
        <v>152.80000000000001</v>
      </c>
      <c r="F31" s="330" t="e">
        <f ca="1">HL_T('[10]原则性热力系统锅炉部分--无高加'!$E$49)</f>
        <v>#NAME?</v>
      </c>
      <c r="G31" s="330" t="e">
        <f ca="1">P_T('[10]原则性热力系统锅炉部分--无高加'!$E$49)</f>
        <v>#NAME?</v>
      </c>
      <c r="H31" s="332">
        <v>0.08</v>
      </c>
      <c r="I31" s="330" t="e">
        <f ca="1">G31/(1-H31)</f>
        <v>#NAME?</v>
      </c>
      <c r="J31" s="330" t="e">
        <f ca="1">H_PS('[10]原则性热力系统锅炉部分--无高加'!$I$49,'[10]原则性热力系统锅炉部分--无高加'!$F$30)</f>
        <v>#NAME?</v>
      </c>
      <c r="K31" s="330" t="e">
        <f ca="1">(F7)*(C31-C32)/(J31-F31)/0.98</f>
        <v>#REF!</v>
      </c>
      <c r="M31" s="334"/>
      <c r="U31" s="327"/>
      <c r="V31" s="327">
        <f t="shared" si="0"/>
        <v>146.29999999999995</v>
      </c>
      <c r="W31" s="333">
        <v>858.5</v>
      </c>
      <c r="X31" s="333">
        <v>199.6</v>
      </c>
      <c r="Y31" s="327">
        <f t="shared" si="1"/>
        <v>31.199999999999989</v>
      </c>
      <c r="AA31" s="333">
        <v>3325</v>
      </c>
      <c r="AB31" s="327">
        <f t="shared" si="2"/>
        <v>195.59999999999991</v>
      </c>
    </row>
    <row r="32" spans="1:28" s="333" customFormat="1" ht="20.100000000000001" customHeight="1">
      <c r="A32" s="328" t="s">
        <v>1685</v>
      </c>
      <c r="B32" s="335">
        <f>ROUND(B31-(B31-B34)/2,0)</f>
        <v>150</v>
      </c>
      <c r="C32" s="330" t="e">
        <f ca="1">C31-(C31-C34)/2</f>
        <v>#NAME?</v>
      </c>
      <c r="D32" s="331">
        <v>2.8</v>
      </c>
      <c r="E32" s="330">
        <f>B32+D32</f>
        <v>152.80000000000001</v>
      </c>
      <c r="F32" s="330" t="e">
        <f ca="1">HL_T('[10]原则性热力系统锅炉部分--无高加'!$E$50)</f>
        <v>#NAME?</v>
      </c>
      <c r="G32" s="330" t="e">
        <f ca="1">P_T('[10]原则性热力系统锅炉部分--无高加'!$E$50)</f>
        <v>#NAME?</v>
      </c>
      <c r="H32" s="332">
        <v>0.08</v>
      </c>
      <c r="I32" s="330" t="e">
        <f ca="1">G32/(1-H32)</f>
        <v>#NAME?</v>
      </c>
      <c r="J32" s="330" t="e">
        <f ca="1">H_PS('[10]原则性热力系统锅炉部分--无高加'!$I$50,'[10]原则性热力系统锅炉部分--无高加'!$F$30)</f>
        <v>#NAME?</v>
      </c>
      <c r="K32" s="330" t="e">
        <f ca="1">((F7)*(C32-C34)-K31*0.98*(F31-F32))/(J32-F32)/0.98</f>
        <v>#REF!</v>
      </c>
      <c r="M32" s="334"/>
      <c r="U32" s="327"/>
      <c r="V32" s="327">
        <f t="shared" si="0"/>
        <v>152.5</v>
      </c>
      <c r="W32" s="333">
        <v>712.2</v>
      </c>
      <c r="X32" s="333">
        <v>168.4</v>
      </c>
      <c r="Y32" s="327">
        <f t="shared" si="1"/>
        <v>35.400000000000006</v>
      </c>
      <c r="AA32" s="333">
        <v>3129.4</v>
      </c>
      <c r="AB32" s="327">
        <f t="shared" si="2"/>
        <v>199.30000000000018</v>
      </c>
    </row>
    <row r="33" spans="1:28" s="333" customFormat="1" ht="20.100000000000001" customHeight="1">
      <c r="A33" s="336" t="s">
        <v>1686</v>
      </c>
      <c r="B33" s="337" t="s">
        <v>1687</v>
      </c>
      <c r="C33" s="337" t="s">
        <v>1688</v>
      </c>
      <c r="D33" s="337">
        <v>50</v>
      </c>
      <c r="E33" s="337" t="s">
        <v>1689</v>
      </c>
      <c r="F33" s="337">
        <f>2*G34</f>
        <v>1.18</v>
      </c>
      <c r="G33" s="337" t="s">
        <v>1690</v>
      </c>
      <c r="H33" s="337" t="e">
        <f ca="1">H_PT('[10]原则性热力系统锅炉部分--无高加'!$F$51,'[10]原则性热力系统锅炉部分--无高加'!$D$51)</f>
        <v>#NAME?</v>
      </c>
      <c r="I33" s="337" t="s">
        <v>1691</v>
      </c>
      <c r="J33" s="338" t="e">
        <f>F25+#REF!</f>
        <v>#REF!</v>
      </c>
      <c r="K33" s="330"/>
      <c r="M33" s="334"/>
      <c r="U33" s="327"/>
      <c r="V33" s="327">
        <f t="shared" si="0"/>
        <v>124.30000000000007</v>
      </c>
      <c r="W33" s="333">
        <v>559.70000000000005</v>
      </c>
      <c r="X33" s="333">
        <v>133</v>
      </c>
      <c r="Y33" s="327">
        <f t="shared" si="1"/>
        <v>29.299999999999997</v>
      </c>
      <c r="AA33" s="333">
        <v>2930.1</v>
      </c>
      <c r="AB33" s="327">
        <f t="shared" si="2"/>
        <v>175.90000000000009</v>
      </c>
    </row>
    <row r="34" spans="1:28" s="333" customFormat="1" ht="20.100000000000001" customHeight="1">
      <c r="A34" s="328" t="s">
        <v>1692</v>
      </c>
      <c r="B34" s="339">
        <v>150</v>
      </c>
      <c r="C34" s="330" t="e">
        <f ca="1">HL_T('[10]原则性热力系统锅炉部分--无高加'!$B$52)</f>
        <v>#NAME?</v>
      </c>
      <c r="D34" s="331"/>
      <c r="E34" s="330"/>
      <c r="F34" s="330"/>
      <c r="G34" s="340">
        <v>0.59</v>
      </c>
      <c r="H34" s="332">
        <v>0.2</v>
      </c>
      <c r="I34" s="330">
        <f>G34/(1-H34)</f>
        <v>0.73749999999999993</v>
      </c>
      <c r="J34" s="330" t="e">
        <f ca="1">H_PS('[10]原则性热力系统锅炉部分--无高加'!$I$52,'[10]原则性热力系统锅炉部分--无高加'!$F$30)</f>
        <v>#NAME?</v>
      </c>
      <c r="K34" s="330" t="e">
        <f ca="1">(F7*J33*(C34-H33)+(F7-K31-K32-F7*J33)*(C34-C35)-(K31+K32)*(F32-C34)*0.98)/((J34-C34)*0.98+(C34-C35))</f>
        <v>#REF!</v>
      </c>
      <c r="M34" s="334"/>
      <c r="U34" s="327"/>
      <c r="V34" s="327">
        <f t="shared" si="0"/>
        <v>84.199999999999989</v>
      </c>
      <c r="W34" s="333">
        <v>435.4</v>
      </c>
      <c r="X34" s="333">
        <v>103.7</v>
      </c>
      <c r="Y34" s="327">
        <f t="shared" si="1"/>
        <v>20.100000000000009</v>
      </c>
      <c r="AA34" s="333">
        <v>2754.2</v>
      </c>
      <c r="AB34" s="327">
        <f t="shared" si="2"/>
        <v>118.59999999999991</v>
      </c>
    </row>
    <row r="35" spans="1:28" s="333" customFormat="1" ht="20.100000000000001" customHeight="1">
      <c r="A35" s="328" t="s">
        <v>1693</v>
      </c>
      <c r="B35" s="335" t="e">
        <f ca="1">ROUND(B34-(B34-B37)/3,0)</f>
        <v>#NAME?</v>
      </c>
      <c r="C35" s="330" t="e">
        <f ca="1">C34-(C34-C37)/3</f>
        <v>#NAME?</v>
      </c>
      <c r="D35" s="331">
        <v>2.8</v>
      </c>
      <c r="E35" s="330" t="e">
        <f ca="1">B35+D35</f>
        <v>#NAME?</v>
      </c>
      <c r="F35" s="330" t="e">
        <f ca="1">HL_T('[10]原则性热力系统锅炉部分--无高加'!$E$53)</f>
        <v>#NAME?</v>
      </c>
      <c r="G35" s="330" t="e">
        <f ca="1">P_T('[10]原则性热力系统锅炉部分--无高加'!$E$53)</f>
        <v>#NAME?</v>
      </c>
      <c r="H35" s="332">
        <v>0.08</v>
      </c>
      <c r="I35" s="330" t="e">
        <f ca="1">G35/(1-H35)</f>
        <v>#NAME?</v>
      </c>
      <c r="J35" s="330" t="e">
        <f ca="1">H_PS('[10]原则性热力系统锅炉部分--无高加'!$I$53,'[10]原则性热力系统锅炉部分--无高加'!$F$30)</f>
        <v>#NAME?</v>
      </c>
      <c r="K35" s="330" t="e">
        <f ca="1">(F7-K34-K32-K31-J33*(F7))*(C35-C36)/(J35-F35)/0.98</f>
        <v>#REF!</v>
      </c>
      <c r="M35" s="334"/>
      <c r="U35" s="327"/>
      <c r="V35" s="327">
        <f t="shared" si="0"/>
        <v>93.099999999999966</v>
      </c>
      <c r="W35" s="333">
        <v>351.2</v>
      </c>
      <c r="X35" s="333">
        <v>83.6</v>
      </c>
      <c r="Y35" s="327">
        <f t="shared" si="1"/>
        <v>22.199999999999996</v>
      </c>
      <c r="AA35" s="333">
        <v>2635.6</v>
      </c>
      <c r="AB35" s="327">
        <f t="shared" si="2"/>
        <v>127.5</v>
      </c>
    </row>
    <row r="36" spans="1:28" s="333" customFormat="1" ht="20.100000000000001" customHeight="1">
      <c r="A36" s="328" t="s">
        <v>1694</v>
      </c>
      <c r="B36" s="335" t="e">
        <f ca="1">ROUND(B35-(B34-B37)/3,0)</f>
        <v>#NAME?</v>
      </c>
      <c r="C36" s="330" t="e">
        <f ca="1">C35-(C34-C37)/3</f>
        <v>#NAME?</v>
      </c>
      <c r="D36" s="331">
        <v>2.8</v>
      </c>
      <c r="E36" s="330" t="e">
        <f ca="1">B36+D36</f>
        <v>#NAME?</v>
      </c>
      <c r="F36" s="330" t="e">
        <f ca="1">HL_T('[10]原则性热力系统锅炉部分--无高加'!$E$54)</f>
        <v>#NAME?</v>
      </c>
      <c r="G36" s="330" t="e">
        <f ca="1">P_T('[10]原则性热力系统锅炉部分--无高加'!$E$54)</f>
        <v>#NAME?</v>
      </c>
      <c r="H36" s="332">
        <v>0.08</v>
      </c>
      <c r="I36" s="330" t="e">
        <f ca="1">G36/(1-H36)</f>
        <v>#NAME?</v>
      </c>
      <c r="J36" s="330" t="e">
        <f ca="1">H_PS('[10]原则性热力系统锅炉部分--无高加'!$I$54,'[10]原则性热力系统锅炉部分--无高加'!$F$30)</f>
        <v>#NAME?</v>
      </c>
      <c r="K36" s="330" t="e">
        <f ca="1">((F7-K34-K32-K31-J33*(F7))*(C36-C37)-0.98*K35*(F35-F36))/0.98/(J36-F36)</f>
        <v>#REF!</v>
      </c>
      <c r="M36" s="334"/>
      <c r="U36" s="327"/>
      <c r="V36" s="327" t="e">
        <f>W36-#REF!</f>
        <v>#REF!</v>
      </c>
      <c r="W36" s="333">
        <v>258.10000000000002</v>
      </c>
      <c r="X36" s="333">
        <v>61.4</v>
      </c>
      <c r="Y36" s="327" t="e">
        <f>X36-#REF!</f>
        <v>#REF!</v>
      </c>
      <c r="AA36" s="333">
        <v>2508.1</v>
      </c>
      <c r="AB36" s="327" t="e">
        <f>AA36-#REF!</f>
        <v>#REF!</v>
      </c>
    </row>
    <row r="37" spans="1:28" s="333" customFormat="1" ht="20.100000000000001" customHeight="1">
      <c r="A37" s="328" t="s">
        <v>1695</v>
      </c>
      <c r="B37" s="335" t="e">
        <f ca="1">T_P('[10]原则性热力系统锅炉部分--无高加'!$G$55)</f>
        <v>#NAME?</v>
      </c>
      <c r="C37" s="330" t="e">
        <f ca="1">H_PT('[10]原则性热力系统锅炉部分--无高加'!$G$55,'[10]原则性热力系统锅炉部分--无高加'!$B$55)</f>
        <v>#NAME?</v>
      </c>
      <c r="D37" s="331"/>
      <c r="E37" s="335"/>
      <c r="F37" s="331"/>
      <c r="G37" s="331">
        <v>8.9999999999999993E-3</v>
      </c>
      <c r="H37" s="331"/>
      <c r="I37" s="331"/>
      <c r="J37" s="331"/>
      <c r="K37" s="331"/>
      <c r="L37" s="297"/>
    </row>
    <row r="38" spans="1:28" ht="20.100000000000001" customHeight="1">
      <c r="A38" s="485" t="s">
        <v>1696</v>
      </c>
      <c r="B38" s="485"/>
      <c r="C38" s="485"/>
      <c r="D38" s="485"/>
      <c r="E38" s="485"/>
      <c r="F38" s="485"/>
      <c r="G38" s="485"/>
      <c r="H38" s="485"/>
      <c r="I38" s="485"/>
      <c r="J38" s="485"/>
      <c r="K38" s="485"/>
    </row>
    <row r="39" spans="1:28" ht="20.100000000000001" customHeight="1">
      <c r="A39" s="485"/>
      <c r="B39" s="485"/>
      <c r="C39" s="485"/>
      <c r="D39" s="485"/>
      <c r="E39" s="485"/>
      <c r="F39" s="485"/>
      <c r="G39" s="485"/>
      <c r="H39" s="485"/>
      <c r="I39" s="485"/>
      <c r="J39" s="485"/>
      <c r="K39" s="485"/>
    </row>
    <row r="40" spans="1:28" ht="20.100000000000001" customHeight="1">
      <c r="A40" s="472" t="s">
        <v>1697</v>
      </c>
      <c r="B40" s="473"/>
      <c r="C40" s="473"/>
      <c r="D40" s="473"/>
      <c r="E40" s="473"/>
      <c r="F40" s="474"/>
    </row>
    <row r="41" spans="1:28" ht="20.100000000000001" customHeight="1">
      <c r="A41" s="294" t="s">
        <v>1698</v>
      </c>
      <c r="B41" s="295" t="s">
        <v>1699</v>
      </c>
      <c r="C41" s="295" t="s">
        <v>1700</v>
      </c>
      <c r="D41" s="295"/>
      <c r="E41" s="295" t="s">
        <v>1701</v>
      </c>
      <c r="F41" s="296">
        <f>F2</f>
        <v>0.82</v>
      </c>
    </row>
    <row r="42" spans="1:28" ht="20.100000000000001" customHeight="1">
      <c r="A42" s="294" t="s">
        <v>295</v>
      </c>
      <c r="B42" s="295" t="s">
        <v>1702</v>
      </c>
      <c r="C42" s="295" t="s">
        <v>1703</v>
      </c>
      <c r="D42" s="295"/>
      <c r="E42" s="295" t="s">
        <v>1701</v>
      </c>
      <c r="F42" s="296">
        <f>F3</f>
        <v>0.95</v>
      </c>
    </row>
    <row r="43" spans="1:28" ht="20.100000000000001" customHeight="1">
      <c r="A43" s="294" t="s">
        <v>296</v>
      </c>
      <c r="B43" s="295" t="s">
        <v>1704</v>
      </c>
      <c r="C43" s="295" t="s">
        <v>1705</v>
      </c>
      <c r="D43" s="295"/>
      <c r="E43" s="295" t="s">
        <v>1701</v>
      </c>
      <c r="F43" s="298">
        <f>F4</f>
        <v>0.97299999999999998</v>
      </c>
    </row>
    <row r="44" spans="1:28" ht="20.100000000000001" customHeight="1">
      <c r="A44" s="294" t="s">
        <v>297</v>
      </c>
      <c r="B44" s="295" t="s">
        <v>1706</v>
      </c>
      <c r="C44" s="295"/>
      <c r="D44" s="227" t="s">
        <v>1618</v>
      </c>
      <c r="E44" s="299" t="s">
        <v>1605</v>
      </c>
      <c r="F44" s="341">
        <f>F5</f>
        <v>3.43</v>
      </c>
    </row>
    <row r="45" spans="1:28" ht="20.100000000000001" customHeight="1">
      <c r="A45" s="294" t="s">
        <v>298</v>
      </c>
      <c r="B45" s="302" t="s">
        <v>1621</v>
      </c>
      <c r="C45" s="295"/>
      <c r="D45" s="227" t="s">
        <v>1622</v>
      </c>
      <c r="E45" s="299" t="s">
        <v>1619</v>
      </c>
      <c r="F45" s="341">
        <f>F6</f>
        <v>435</v>
      </c>
    </row>
    <row r="46" spans="1:28" ht="20.100000000000001" customHeight="1">
      <c r="A46" s="294" t="s">
        <v>299</v>
      </c>
      <c r="B46" s="303" t="s">
        <v>1629</v>
      </c>
      <c r="C46" s="295" t="s">
        <v>1707</v>
      </c>
      <c r="D46" s="304" t="s">
        <v>1631</v>
      </c>
      <c r="E46" s="305" t="s">
        <v>1708</v>
      </c>
      <c r="F46" s="341" t="e">
        <f>F7*(1-F25)</f>
        <v>#REF!</v>
      </c>
    </row>
    <row r="47" spans="1:28" ht="14.25">
      <c r="A47" s="294" t="s">
        <v>300</v>
      </c>
      <c r="B47" s="302" t="s">
        <v>1624</v>
      </c>
      <c r="C47" s="295"/>
      <c r="D47" s="227" t="s">
        <v>1626</v>
      </c>
      <c r="E47" s="299" t="s">
        <v>1615</v>
      </c>
      <c r="F47" s="341" t="e">
        <f ca="1">S_PT('[10]原则性热力系统锅炉部分--无高加'!$F$62,'[10]原则性热力系统锅炉部分--无高加'!$F$63)</f>
        <v>#NAME?</v>
      </c>
    </row>
    <row r="48" spans="1:28" ht="14.25">
      <c r="A48" s="294" t="s">
        <v>301</v>
      </c>
      <c r="B48" s="303" t="s">
        <v>1612</v>
      </c>
      <c r="C48" s="299" t="s">
        <v>1613</v>
      </c>
      <c r="D48" s="227" t="s">
        <v>1614</v>
      </c>
      <c r="E48" s="227" t="s">
        <v>1615</v>
      </c>
      <c r="F48" s="224" t="e">
        <f ca="1">H_PT('[10]原则性热力系统锅炉部分--无高加'!$F$62,'[10]原则性热力系统锅炉部分--无高加'!$F$63)</f>
        <v>#NAME?</v>
      </c>
    </row>
    <row r="49" spans="1:6" ht="14.25">
      <c r="A49" s="294" t="s">
        <v>302</v>
      </c>
      <c r="B49" s="194" t="s">
        <v>1709</v>
      </c>
      <c r="C49" s="194"/>
      <c r="D49" s="227" t="s">
        <v>1618</v>
      </c>
      <c r="E49" s="194"/>
      <c r="F49" s="341">
        <v>0.74</v>
      </c>
    </row>
    <row r="50" spans="1:6" ht="14.25">
      <c r="A50" s="294" t="s">
        <v>303</v>
      </c>
      <c r="B50" s="312" t="s">
        <v>1624</v>
      </c>
      <c r="C50" s="299" t="s">
        <v>1625</v>
      </c>
      <c r="D50" s="227" t="s">
        <v>1626</v>
      </c>
      <c r="E50" s="227" t="s">
        <v>1627</v>
      </c>
      <c r="F50" s="342" t="e">
        <f ca="1">F69</f>
        <v>#NAME?</v>
      </c>
    </row>
    <row r="51" spans="1:6" ht="14.25">
      <c r="A51" s="294" t="s">
        <v>304</v>
      </c>
      <c r="B51" s="302" t="s">
        <v>1621</v>
      </c>
      <c r="C51" s="295"/>
      <c r="D51" s="227" t="s">
        <v>1622</v>
      </c>
      <c r="E51" s="227" t="s">
        <v>1615</v>
      </c>
      <c r="F51" s="224" t="e">
        <f ca="1">T_PS('[10]原则性热力系统锅炉部分--无高加'!$F$67,'[10]原则性热力系统锅炉部分--无高加'!$F$68)</f>
        <v>#NAME?</v>
      </c>
    </row>
    <row r="52" spans="1:6" ht="14.25">
      <c r="A52" s="294" t="s">
        <v>305</v>
      </c>
      <c r="B52" s="312" t="s">
        <v>1612</v>
      </c>
      <c r="C52" s="299" t="s">
        <v>1628</v>
      </c>
      <c r="D52" s="227" t="s">
        <v>1614</v>
      </c>
      <c r="E52" s="227" t="s">
        <v>1615</v>
      </c>
      <c r="F52" s="224" t="e">
        <f ca="1">H_PS('[10]原则性热力系统锅炉部分--无高加'!$F$67,'[10]原则性热力系统锅炉部分--无高加'!$F$68)</f>
        <v>#NAME?</v>
      </c>
    </row>
    <row r="53" spans="1:6" ht="14.25">
      <c r="A53" s="294" t="s">
        <v>306</v>
      </c>
      <c r="B53" s="303" t="s">
        <v>1629</v>
      </c>
      <c r="C53" s="295" t="s">
        <v>1710</v>
      </c>
      <c r="D53" s="304" t="s">
        <v>1631</v>
      </c>
      <c r="E53" s="194"/>
      <c r="F53" s="341" t="e">
        <f ca="1">K31</f>
        <v>#REF!</v>
      </c>
    </row>
    <row r="54" spans="1:6" ht="14.25">
      <c r="A54" s="294" t="s">
        <v>307</v>
      </c>
      <c r="B54" s="194" t="s">
        <v>1711</v>
      </c>
      <c r="C54" s="194" t="s">
        <v>1712</v>
      </c>
      <c r="D54" s="194" t="s">
        <v>1713</v>
      </c>
      <c r="E54" s="194"/>
      <c r="F54" s="343" t="e">
        <f ca="1">(F46)*(F48-F52)*F42*F43*F41/3.6</f>
        <v>#REF!</v>
      </c>
    </row>
    <row r="55" spans="1:6" ht="14.25">
      <c r="A55" s="294" t="s">
        <v>308</v>
      </c>
      <c r="B55" s="194" t="s">
        <v>1714</v>
      </c>
      <c r="C55" s="194"/>
      <c r="D55" s="227" t="s">
        <v>1618</v>
      </c>
      <c r="E55" s="194"/>
      <c r="F55" s="341">
        <v>0.74</v>
      </c>
    </row>
    <row r="56" spans="1:6" ht="14.25">
      <c r="A56" s="294" t="s">
        <v>309</v>
      </c>
      <c r="B56" s="312" t="s">
        <v>1624</v>
      </c>
      <c r="C56" s="299" t="s">
        <v>1625</v>
      </c>
      <c r="D56" s="227" t="s">
        <v>1626</v>
      </c>
      <c r="E56" s="227" t="s">
        <v>1627</v>
      </c>
      <c r="F56" s="342" t="e">
        <f ca="1">F50</f>
        <v>#NAME?</v>
      </c>
    </row>
    <row r="57" spans="1:6" ht="14.25">
      <c r="A57" s="294" t="s">
        <v>311</v>
      </c>
      <c r="B57" s="302" t="s">
        <v>1621</v>
      </c>
      <c r="C57" s="295"/>
      <c r="D57" s="227" t="s">
        <v>1622</v>
      </c>
      <c r="E57" s="227" t="s">
        <v>1615</v>
      </c>
      <c r="F57" s="224" t="e">
        <f ca="1">T_PS('[10]原则性热力系统锅炉部分--无高加'!$F$73,'[10]原则性热力系统锅炉部分--无高加'!$F$74)</f>
        <v>#NAME?</v>
      </c>
    </row>
    <row r="58" spans="1:6" ht="14.25">
      <c r="A58" s="294" t="s">
        <v>322</v>
      </c>
      <c r="B58" s="312" t="s">
        <v>1612</v>
      </c>
      <c r="C58" s="299" t="s">
        <v>1628</v>
      </c>
      <c r="D58" s="227" t="s">
        <v>1614</v>
      </c>
      <c r="E58" s="227" t="s">
        <v>1615</v>
      </c>
      <c r="F58" s="224" t="e">
        <f ca="1">H_PS('[10]原则性热力系统锅炉部分--无高加'!$F$73,'[10]原则性热力系统锅炉部分--无高加'!$F$74)</f>
        <v>#NAME?</v>
      </c>
    </row>
    <row r="59" spans="1:6" ht="14.25">
      <c r="A59" s="294" t="s">
        <v>323</v>
      </c>
      <c r="B59" s="303" t="s">
        <v>1629</v>
      </c>
      <c r="C59" s="295" t="s">
        <v>1715</v>
      </c>
      <c r="D59" s="304" t="s">
        <v>1631</v>
      </c>
      <c r="E59" s="194"/>
      <c r="F59" s="341" t="e">
        <f ca="1">K32</f>
        <v>#REF!</v>
      </c>
    </row>
    <row r="60" spans="1:6" ht="14.25">
      <c r="A60" s="294" t="s">
        <v>324</v>
      </c>
      <c r="B60" s="194" t="s">
        <v>1716</v>
      </c>
      <c r="C60" s="194" t="s">
        <v>1644</v>
      </c>
      <c r="D60" s="194" t="s">
        <v>1713</v>
      </c>
      <c r="E60" s="194"/>
      <c r="F60" s="343" t="e">
        <f ca="1">(F46-F53)*(F52-F58)*F43*F42*F41/3.6</f>
        <v>#REF!</v>
      </c>
    </row>
    <row r="61" spans="1:6" ht="14.25">
      <c r="A61" s="294" t="s">
        <v>312</v>
      </c>
      <c r="B61" s="194" t="s">
        <v>1717</v>
      </c>
      <c r="C61" s="194"/>
      <c r="D61" s="227" t="s">
        <v>1618</v>
      </c>
      <c r="E61" s="194"/>
      <c r="F61" s="341">
        <f>I34</f>
        <v>0.73749999999999993</v>
      </c>
    </row>
    <row r="62" spans="1:6" ht="14.25">
      <c r="A62" s="294" t="s">
        <v>313</v>
      </c>
      <c r="B62" s="312" t="s">
        <v>1624</v>
      </c>
      <c r="C62" s="299" t="s">
        <v>1625</v>
      </c>
      <c r="D62" s="227" t="s">
        <v>1626</v>
      </c>
      <c r="E62" s="227" t="s">
        <v>1627</v>
      </c>
      <c r="F62" s="342" t="e">
        <f ca="1">F56</f>
        <v>#NAME?</v>
      </c>
    </row>
    <row r="63" spans="1:6" ht="14.25">
      <c r="A63" s="294" t="s">
        <v>314</v>
      </c>
      <c r="B63" s="302" t="s">
        <v>1621</v>
      </c>
      <c r="C63" s="295"/>
      <c r="D63" s="227" t="s">
        <v>1622</v>
      </c>
      <c r="E63" s="227" t="s">
        <v>1615</v>
      </c>
      <c r="F63" s="224" t="e">
        <f ca="1">T_PS('[10]原则性热力系统锅炉部分--无高加'!$F$79,'[10]原则性热力系统锅炉部分--无高加'!$F$80)</f>
        <v>#NAME?</v>
      </c>
    </row>
    <row r="64" spans="1:6" ht="14.25">
      <c r="A64" s="294" t="s">
        <v>315</v>
      </c>
      <c r="B64" s="312" t="s">
        <v>1612</v>
      </c>
      <c r="C64" s="299" t="s">
        <v>1628</v>
      </c>
      <c r="D64" s="227" t="s">
        <v>1614</v>
      </c>
      <c r="E64" s="227" t="s">
        <v>1615</v>
      </c>
      <c r="F64" s="224" t="e">
        <f ca="1">H_PS('[10]原则性热力系统锅炉部分--无高加'!$F$79,'[10]原则性热力系统锅炉部分--无高加'!$F$80)</f>
        <v>#NAME?</v>
      </c>
    </row>
    <row r="65" spans="1:6" ht="14.25">
      <c r="A65" s="294" t="s">
        <v>316</v>
      </c>
      <c r="B65" s="303" t="s">
        <v>1629</v>
      </c>
      <c r="C65" s="295" t="s">
        <v>1718</v>
      </c>
      <c r="D65" s="304" t="s">
        <v>1631</v>
      </c>
      <c r="E65" s="194"/>
      <c r="F65" s="341" t="e">
        <f ca="1">K34</f>
        <v>#REF!</v>
      </c>
    </row>
    <row r="66" spans="1:6" ht="14.25">
      <c r="A66" s="294" t="s">
        <v>317</v>
      </c>
      <c r="B66" s="194" t="s">
        <v>1719</v>
      </c>
      <c r="C66" s="194" t="s">
        <v>1720</v>
      </c>
      <c r="D66" s="194" t="s">
        <v>1713</v>
      </c>
      <c r="E66" s="194"/>
      <c r="F66" s="343" t="e">
        <f ca="1">(F46-F53-F59)*(F58-F64)*F43*F42*F41/3.6</f>
        <v>#REF!</v>
      </c>
    </row>
    <row r="67" spans="1:6" ht="15">
      <c r="A67" s="294" t="s">
        <v>318</v>
      </c>
      <c r="B67" s="307" t="s">
        <v>1721</v>
      </c>
      <c r="C67" s="308" t="s">
        <v>1617</v>
      </c>
      <c r="D67" s="227" t="s">
        <v>1618</v>
      </c>
      <c r="E67" s="227" t="s">
        <v>1619</v>
      </c>
      <c r="F67" s="344">
        <f>F10</f>
        <v>0.35</v>
      </c>
    </row>
    <row r="68" spans="1:6" ht="14.25">
      <c r="A68" s="294" t="s">
        <v>1722</v>
      </c>
      <c r="B68" s="302" t="s">
        <v>1621</v>
      </c>
      <c r="C68" s="295"/>
      <c r="D68" s="227" t="s">
        <v>1622</v>
      </c>
      <c r="E68" s="299" t="s">
        <v>1619</v>
      </c>
      <c r="F68" s="344" t="e">
        <f ca="1">F11</f>
        <v>#NAME?</v>
      </c>
    </row>
    <row r="69" spans="1:6" ht="14.25">
      <c r="A69" s="294" t="s">
        <v>1723</v>
      </c>
      <c r="B69" s="312" t="s">
        <v>1624</v>
      </c>
      <c r="C69" s="299" t="s">
        <v>1625</v>
      </c>
      <c r="D69" s="227" t="s">
        <v>1626</v>
      </c>
      <c r="E69" s="227" t="s">
        <v>1627</v>
      </c>
      <c r="F69" s="298" t="e">
        <f ca="1">F47</f>
        <v>#NAME?</v>
      </c>
    </row>
    <row r="70" spans="1:6" ht="14.25">
      <c r="A70" s="294" t="s">
        <v>1724</v>
      </c>
      <c r="B70" s="312" t="s">
        <v>1612</v>
      </c>
      <c r="C70" s="299" t="s">
        <v>1628</v>
      </c>
      <c r="D70" s="227" t="s">
        <v>1614</v>
      </c>
      <c r="E70" s="227" t="s">
        <v>1725</v>
      </c>
      <c r="F70" s="298" t="e">
        <f ca="1">F18</f>
        <v>#REF!</v>
      </c>
    </row>
    <row r="71" spans="1:6" ht="14.25">
      <c r="A71" s="294" t="s">
        <v>1726</v>
      </c>
      <c r="B71" s="312" t="s">
        <v>1612</v>
      </c>
      <c r="C71" s="299" t="s">
        <v>1628</v>
      </c>
      <c r="D71" s="227" t="s">
        <v>1614</v>
      </c>
      <c r="E71" s="227" t="s">
        <v>1727</v>
      </c>
      <c r="F71" s="298" t="e">
        <f ca="1">H_PS('[10]原则性热力系统锅炉部分--无高加'!$F$28,'[10]原则性热力系统锅炉部分--无高加'!$F$26)</f>
        <v>#NAME?</v>
      </c>
    </row>
    <row r="72" spans="1:6" ht="14.25">
      <c r="A72" s="294" t="s">
        <v>1728</v>
      </c>
      <c r="B72" s="303" t="s">
        <v>1629</v>
      </c>
      <c r="C72" s="295" t="s">
        <v>1630</v>
      </c>
      <c r="D72" s="304" t="s">
        <v>1631</v>
      </c>
      <c r="E72" s="227"/>
      <c r="F72" s="345">
        <f>F15</f>
        <v>0</v>
      </c>
    </row>
    <row r="73" spans="1:6" ht="14.25">
      <c r="A73" s="294" t="s">
        <v>1729</v>
      </c>
      <c r="B73" s="194" t="s">
        <v>1730</v>
      </c>
      <c r="C73" s="194" t="s">
        <v>1731</v>
      </c>
      <c r="D73" s="194" t="s">
        <v>1713</v>
      </c>
      <c r="E73" s="194"/>
      <c r="F73" s="251" t="e">
        <f ca="1">(F46)*(F64-F71)*F42*F43*F41/3.6</f>
        <v>#REF!</v>
      </c>
    </row>
    <row r="74" spans="1:6" ht="14.25">
      <c r="A74" s="294" t="s">
        <v>1732</v>
      </c>
      <c r="B74" s="194" t="s">
        <v>1733</v>
      </c>
      <c r="C74" s="194"/>
      <c r="D74" s="227" t="s">
        <v>1618</v>
      </c>
      <c r="E74" s="194"/>
      <c r="F74" s="341" t="e">
        <f ca="1">I35</f>
        <v>#NAME?</v>
      </c>
    </row>
    <row r="75" spans="1:6" ht="14.25">
      <c r="A75" s="294" t="s">
        <v>1734</v>
      </c>
      <c r="B75" s="312" t="s">
        <v>1624</v>
      </c>
      <c r="C75" s="299" t="s">
        <v>1625</v>
      </c>
      <c r="D75" s="227" t="s">
        <v>1626</v>
      </c>
      <c r="E75" s="227" t="s">
        <v>1627</v>
      </c>
      <c r="F75" s="342" t="e">
        <f ca="1">F62</f>
        <v>#NAME?</v>
      </c>
    </row>
    <row r="76" spans="1:6" ht="14.25">
      <c r="A76" s="294" t="s">
        <v>1735</v>
      </c>
      <c r="B76" s="302" t="s">
        <v>1621</v>
      </c>
      <c r="C76" s="295"/>
      <c r="D76" s="227" t="s">
        <v>1622</v>
      </c>
      <c r="E76" s="227" t="s">
        <v>1615</v>
      </c>
      <c r="F76" s="224" t="e">
        <f ca="1">T_PS('[10]原则性热力系统锅炉部分--无高加'!$F$92,'[10]原则性热力系统锅炉部分--无高加'!$F$93)</f>
        <v>#NAME?</v>
      </c>
    </row>
    <row r="77" spans="1:6" ht="14.25">
      <c r="A77" s="294" t="s">
        <v>1736</v>
      </c>
      <c r="B77" s="312" t="s">
        <v>1612</v>
      </c>
      <c r="C77" s="299" t="s">
        <v>1628</v>
      </c>
      <c r="D77" s="227" t="s">
        <v>1614</v>
      </c>
      <c r="E77" s="227" t="s">
        <v>1615</v>
      </c>
      <c r="F77" s="224" t="e">
        <f ca="1">H_PS('[10]原则性热力系统锅炉部分--无高加'!$F$92,'[10]原则性热力系统锅炉部分--无高加'!$F$93)</f>
        <v>#NAME?</v>
      </c>
    </row>
    <row r="78" spans="1:6" ht="14.25">
      <c r="A78" s="294" t="s">
        <v>1737</v>
      </c>
      <c r="B78" s="303" t="s">
        <v>1629</v>
      </c>
      <c r="C78" s="295" t="s">
        <v>1738</v>
      </c>
      <c r="D78" s="304" t="s">
        <v>1631</v>
      </c>
      <c r="E78" s="194"/>
      <c r="F78" s="341" t="e">
        <f ca="1">K35</f>
        <v>#REF!</v>
      </c>
    </row>
    <row r="79" spans="1:6" ht="14.25">
      <c r="A79" s="294" t="s">
        <v>1739</v>
      </c>
      <c r="B79" s="194" t="s">
        <v>1740</v>
      </c>
      <c r="C79" s="194" t="s">
        <v>1741</v>
      </c>
      <c r="D79" s="194" t="s">
        <v>1713</v>
      </c>
      <c r="E79" s="194"/>
      <c r="F79" s="343" t="e">
        <f ca="1">(F46+F72-F53-F59-F65)*(F70-F77)*F42*F43*F41/3.6</f>
        <v>#REF!</v>
      </c>
    </row>
    <row r="80" spans="1:6" ht="14.25">
      <c r="A80" s="294" t="s">
        <v>1742</v>
      </c>
      <c r="B80" s="194" t="s">
        <v>1743</v>
      </c>
      <c r="C80" s="194"/>
      <c r="D80" s="227" t="s">
        <v>1618</v>
      </c>
      <c r="E80" s="194"/>
      <c r="F80" s="341" t="e">
        <f ca="1">I36</f>
        <v>#NAME?</v>
      </c>
    </row>
    <row r="81" spans="1:13" ht="14.25">
      <c r="A81" s="294" t="s">
        <v>1744</v>
      </c>
      <c r="B81" s="312" t="s">
        <v>1624</v>
      </c>
      <c r="C81" s="299" t="s">
        <v>1625</v>
      </c>
      <c r="D81" s="227" t="s">
        <v>1626</v>
      </c>
      <c r="E81" s="227" t="s">
        <v>1627</v>
      </c>
      <c r="F81" s="342" t="e">
        <f ca="1">F62</f>
        <v>#NAME?</v>
      </c>
    </row>
    <row r="82" spans="1:13" ht="14.25">
      <c r="A82" s="294" t="s">
        <v>1745</v>
      </c>
      <c r="B82" s="302" t="s">
        <v>1621</v>
      </c>
      <c r="C82" s="295"/>
      <c r="D82" s="227" t="s">
        <v>1622</v>
      </c>
      <c r="E82" s="227" t="s">
        <v>1615</v>
      </c>
      <c r="F82" s="224" t="e">
        <f ca="1">T_PS('[10]原则性热力系统锅炉部分--无高加'!$F$98,'[10]原则性热力系统锅炉部分--无高加'!$F$99)</f>
        <v>#NAME?</v>
      </c>
    </row>
    <row r="83" spans="1:13" ht="14.25">
      <c r="A83" s="294" t="s">
        <v>1746</v>
      </c>
      <c r="B83" s="312" t="s">
        <v>1612</v>
      </c>
      <c r="C83" s="299" t="s">
        <v>1628</v>
      </c>
      <c r="D83" s="227" t="s">
        <v>1614</v>
      </c>
      <c r="E83" s="227" t="s">
        <v>1615</v>
      </c>
      <c r="F83" s="224" t="e">
        <f ca="1">H_PS('[10]原则性热力系统锅炉部分--无高加'!$F$98,'[10]原则性热力系统锅炉部分--无高加'!$F$99)</f>
        <v>#NAME?</v>
      </c>
    </row>
    <row r="84" spans="1:13" ht="14.25">
      <c r="A84" s="294" t="s">
        <v>1747</v>
      </c>
      <c r="B84" s="303" t="s">
        <v>1629</v>
      </c>
      <c r="C84" s="295" t="s">
        <v>1738</v>
      </c>
      <c r="D84" s="304" t="s">
        <v>1631</v>
      </c>
      <c r="E84" s="194"/>
      <c r="F84" s="341" t="e">
        <f ca="1">K36</f>
        <v>#REF!</v>
      </c>
    </row>
    <row r="85" spans="1:13" ht="14.25">
      <c r="A85" s="294" t="s">
        <v>1748</v>
      </c>
      <c r="B85" s="194" t="s">
        <v>1749</v>
      </c>
      <c r="C85" s="194" t="s">
        <v>1750</v>
      </c>
      <c r="D85" s="194" t="s">
        <v>1713</v>
      </c>
      <c r="E85" s="194"/>
      <c r="F85" s="343" t="e">
        <f ca="1">(F46+F72-F53-F59-F65-F78)*(F77-F83)*F42*F43*F41/3.6</f>
        <v>#REF!</v>
      </c>
    </row>
    <row r="86" spans="1:13" ht="14.25">
      <c r="A86" s="294" t="s">
        <v>1751</v>
      </c>
      <c r="B86" s="303" t="s">
        <v>1752</v>
      </c>
      <c r="C86" s="299" t="s">
        <v>1644</v>
      </c>
      <c r="D86" s="304" t="s">
        <v>1618</v>
      </c>
      <c r="E86" s="227" t="s">
        <v>1645</v>
      </c>
      <c r="F86" s="346">
        <f>F20</f>
        <v>8.9999999999999993E-3</v>
      </c>
      <c r="H86" s="347"/>
    </row>
    <row r="87" spans="1:13" ht="14.25">
      <c r="A87" s="294" t="s">
        <v>1753</v>
      </c>
      <c r="B87" s="312" t="s">
        <v>1624</v>
      </c>
      <c r="C87" s="299" t="s">
        <v>1625</v>
      </c>
      <c r="D87" s="227" t="s">
        <v>1626</v>
      </c>
      <c r="E87" s="227" t="s">
        <v>1627</v>
      </c>
      <c r="F87" s="342" t="e">
        <f ca="1">F75</f>
        <v>#NAME?</v>
      </c>
    </row>
    <row r="88" spans="1:13" ht="14.25">
      <c r="A88" s="294" t="s">
        <v>1754</v>
      </c>
      <c r="B88" s="303" t="s">
        <v>1612</v>
      </c>
      <c r="C88" s="299" t="s">
        <v>1646</v>
      </c>
      <c r="D88" s="227" t="s">
        <v>1614</v>
      </c>
      <c r="E88" s="227" t="s">
        <v>1647</v>
      </c>
      <c r="F88" s="315" t="e">
        <f ca="1">H_PS('[10]原则性热力系统锅炉部分--无高加'!$F$104,'[10]原则性热力系统锅炉部分--无高加'!$F$105)</f>
        <v>#NAME?</v>
      </c>
    </row>
    <row r="89" spans="1:13" ht="14.25">
      <c r="A89" s="294" t="s">
        <v>1755</v>
      </c>
      <c r="B89" s="303" t="s">
        <v>1756</v>
      </c>
      <c r="C89" s="299" t="s">
        <v>1757</v>
      </c>
      <c r="D89" s="227" t="s">
        <v>1758</v>
      </c>
      <c r="E89" s="227"/>
      <c r="F89" s="315" t="e">
        <f ca="1">F83-(F83-F88)*F41</f>
        <v>#NAME?</v>
      </c>
    </row>
    <row r="90" spans="1:13" ht="14.25">
      <c r="A90" s="294" t="s">
        <v>1759</v>
      </c>
      <c r="B90" s="303" t="s">
        <v>1760</v>
      </c>
      <c r="C90" s="299" t="s">
        <v>1761</v>
      </c>
      <c r="D90" s="227" t="s">
        <v>1614</v>
      </c>
      <c r="E90" s="299" t="s">
        <v>1615</v>
      </c>
      <c r="F90" s="315" t="e">
        <f ca="1">HG_P(F86)</f>
        <v>#NAME?</v>
      </c>
    </row>
    <row r="91" spans="1:13" ht="14.25">
      <c r="A91" s="294" t="s">
        <v>1762</v>
      </c>
      <c r="B91" s="303" t="s">
        <v>1665</v>
      </c>
      <c r="C91" s="299" t="s">
        <v>1763</v>
      </c>
      <c r="D91" s="227" t="s">
        <v>1614</v>
      </c>
      <c r="E91" s="299" t="s">
        <v>1615</v>
      </c>
      <c r="F91" s="315" t="e">
        <f ca="1">HL_P(F86)</f>
        <v>#NAME?</v>
      </c>
    </row>
    <row r="92" spans="1:13" ht="14.25">
      <c r="A92" s="294" t="s">
        <v>1764</v>
      </c>
      <c r="B92" s="303" t="s">
        <v>1765</v>
      </c>
      <c r="C92" s="299" t="s">
        <v>1766</v>
      </c>
      <c r="D92" s="227"/>
      <c r="E92" s="227" t="s">
        <v>1767</v>
      </c>
      <c r="F92" s="348" t="e">
        <f ca="1">(F89-F91)/(F90-F91)</f>
        <v>#NAME?</v>
      </c>
    </row>
    <row r="93" spans="1:13" ht="14.25">
      <c r="A93" s="294" t="s">
        <v>1768</v>
      </c>
      <c r="B93" s="303" t="s">
        <v>1629</v>
      </c>
      <c r="C93" s="295" t="s">
        <v>1738</v>
      </c>
      <c r="D93" s="304" t="s">
        <v>1631</v>
      </c>
      <c r="E93" s="196" t="s">
        <v>1769</v>
      </c>
      <c r="F93" s="315" t="e">
        <f ca="1">F46-F53-F59-F65+F72-F78-F84</f>
        <v>#REF!</v>
      </c>
    </row>
    <row r="94" spans="1:13" ht="14.25">
      <c r="A94" s="294" t="s">
        <v>1770</v>
      </c>
      <c r="B94" s="194" t="s">
        <v>1771</v>
      </c>
      <c r="C94" s="194" t="s">
        <v>1772</v>
      </c>
      <c r="D94" s="194" t="s">
        <v>1713</v>
      </c>
      <c r="E94" s="194"/>
      <c r="F94" s="343" t="e">
        <f ca="1">(F46+F72-F53-F59-F65-F78-F84)*(F83-F89)*F42*F43*F41/3.6</f>
        <v>#REF!</v>
      </c>
      <c r="L94" s="349"/>
      <c r="M94" s="349"/>
    </row>
    <row r="95" spans="1:13" ht="14.25">
      <c r="A95" s="294" t="s">
        <v>1773</v>
      </c>
      <c r="B95" s="194" t="s">
        <v>1774</v>
      </c>
      <c r="C95" s="194"/>
      <c r="D95" s="194"/>
      <c r="E95" s="194"/>
      <c r="F95" s="350" t="e">
        <f ca="1">(F94+F85+F79+F66+F60+F54+F73)</f>
        <v>#REF!</v>
      </c>
    </row>
    <row r="96" spans="1:13" ht="14.25">
      <c r="A96" s="294" t="s">
        <v>1775</v>
      </c>
      <c r="B96" s="194" t="s">
        <v>1776</v>
      </c>
      <c r="C96" s="194"/>
      <c r="D96" s="194"/>
      <c r="E96" s="194" t="s">
        <v>1777</v>
      </c>
      <c r="F96" s="351" t="e">
        <f ca="1">(F95-F23*1000)/F23/1000</f>
        <v>#REF!</v>
      </c>
      <c r="G96" s="352"/>
    </row>
    <row r="97" spans="1:8" ht="14.25">
      <c r="A97" s="472" t="s">
        <v>1778</v>
      </c>
      <c r="B97" s="473"/>
      <c r="C97" s="473"/>
      <c r="D97" s="473"/>
      <c r="E97" s="473"/>
      <c r="F97" s="474"/>
    </row>
    <row r="98" spans="1:8" ht="14.25">
      <c r="A98" s="294" t="s">
        <v>1698</v>
      </c>
      <c r="B98" s="475" t="s">
        <v>1779</v>
      </c>
      <c r="C98" s="194" t="s">
        <v>1780</v>
      </c>
      <c r="D98" s="194" t="s">
        <v>1781</v>
      </c>
      <c r="E98" s="194" t="s">
        <v>1782</v>
      </c>
      <c r="F98" s="353" t="e">
        <f>(F7*1000*(#REF!-#REF!)+#REF!*F7*1000*(#REF!-#REF!))/#REF!/1000</f>
        <v>#REF!</v>
      </c>
      <c r="G98" s="354"/>
    </row>
    <row r="99" spans="1:8" ht="14.25">
      <c r="A99" s="294" t="s">
        <v>295</v>
      </c>
      <c r="B99" s="475"/>
      <c r="C99" s="194" t="s">
        <v>1780</v>
      </c>
      <c r="D99" s="194" t="s">
        <v>1781</v>
      </c>
      <c r="E99" s="194" t="s">
        <v>1783</v>
      </c>
      <c r="F99" s="353" t="e">
        <f ca="1">(F7*1000*(#REF!-#REF!)+#REF!*F7*1000*(#REF!-#REF!))/#REF!/1000+F15*1000*(F13-F91)/1000</f>
        <v>#REF!</v>
      </c>
      <c r="G99" s="354"/>
    </row>
    <row r="100" spans="1:8" ht="14.25">
      <c r="A100" s="294" t="s">
        <v>296</v>
      </c>
      <c r="B100" s="303" t="s">
        <v>1784</v>
      </c>
      <c r="C100" s="303" t="s">
        <v>1785</v>
      </c>
      <c r="D100" s="303" t="s">
        <v>1786</v>
      </c>
      <c r="E100" s="303"/>
      <c r="F100" s="224" t="e">
        <f ca="1">(F99*1000)/F95</f>
        <v>#REF!</v>
      </c>
    </row>
    <row r="101" spans="1:8" ht="14.25">
      <c r="A101" s="294" t="s">
        <v>297</v>
      </c>
      <c r="B101" s="303" t="s">
        <v>1787</v>
      </c>
      <c r="C101" s="303" t="s">
        <v>1788</v>
      </c>
      <c r="D101" s="303" t="s">
        <v>1789</v>
      </c>
      <c r="E101" s="303"/>
      <c r="F101" s="355" t="e">
        <f ca="1">(F7)*1000/F95</f>
        <v>#REF!</v>
      </c>
    </row>
    <row r="102" spans="1:8" ht="14.25">
      <c r="A102" s="294" t="s">
        <v>298</v>
      </c>
      <c r="B102" s="303" t="s">
        <v>1790</v>
      </c>
      <c r="C102" s="303" t="s">
        <v>1791</v>
      </c>
      <c r="D102" s="303" t="s">
        <v>1792</v>
      </c>
      <c r="E102" s="194" t="s">
        <v>1793</v>
      </c>
      <c r="F102" s="224" t="e">
        <f>F98*1000/29308</f>
        <v>#REF!</v>
      </c>
    </row>
    <row r="103" spans="1:8" ht="14.25">
      <c r="A103" s="294" t="s">
        <v>299</v>
      </c>
      <c r="B103" s="303" t="s">
        <v>1794</v>
      </c>
      <c r="C103" s="303" t="s">
        <v>1795</v>
      </c>
      <c r="D103" s="303" t="s">
        <v>1789</v>
      </c>
      <c r="E103" s="194"/>
      <c r="F103" s="224" t="e">
        <f ca="1">F102/F95</f>
        <v>#REF!</v>
      </c>
    </row>
    <row r="104" spans="1:8" ht="14.25">
      <c r="A104" s="294" t="s">
        <v>300</v>
      </c>
      <c r="B104" s="303" t="s">
        <v>1796</v>
      </c>
      <c r="C104" s="303" t="s">
        <v>1797</v>
      </c>
      <c r="D104" s="303"/>
      <c r="E104" s="194" t="s">
        <v>1798</v>
      </c>
      <c r="F104" s="356" t="e">
        <f ca="1">3600/F100</f>
        <v>#REF!</v>
      </c>
    </row>
    <row r="105" spans="1:8" ht="14.25">
      <c r="A105" s="294" t="s">
        <v>301</v>
      </c>
      <c r="B105" s="303" t="s">
        <v>1799</v>
      </c>
      <c r="C105" s="303" t="s">
        <v>1800</v>
      </c>
      <c r="D105" s="303" t="s">
        <v>1801</v>
      </c>
      <c r="E105" s="194" t="s">
        <v>1701</v>
      </c>
      <c r="F105" s="357">
        <v>8000</v>
      </c>
    </row>
    <row r="106" spans="1:8" ht="16.5">
      <c r="A106" s="294" t="s">
        <v>302</v>
      </c>
      <c r="B106" s="303" t="s">
        <v>1802</v>
      </c>
      <c r="C106" s="303"/>
      <c r="D106" s="303" t="s">
        <v>1803</v>
      </c>
      <c r="E106" s="194"/>
      <c r="F106" s="355" t="e">
        <f ca="1">F105*F95/10000</f>
        <v>#REF!</v>
      </c>
    </row>
    <row r="107" spans="1:8" ht="14.25">
      <c r="A107" s="294" t="s">
        <v>303</v>
      </c>
      <c r="B107" s="303" t="s">
        <v>1804</v>
      </c>
      <c r="C107" s="303"/>
      <c r="D107" s="303" t="s">
        <v>1805</v>
      </c>
      <c r="E107" s="194" t="s">
        <v>1701</v>
      </c>
      <c r="F107" s="357" t="e">
        <f ca="1">F106*F108</f>
        <v>#REF!</v>
      </c>
      <c r="H107" s="349"/>
    </row>
    <row r="108" spans="1:8" ht="14.25">
      <c r="A108" s="294" t="s">
        <v>304</v>
      </c>
      <c r="B108" s="303" t="s">
        <v>1806</v>
      </c>
      <c r="C108" s="303"/>
      <c r="D108" s="303" t="s">
        <v>1807</v>
      </c>
      <c r="E108" s="194"/>
      <c r="F108" s="358">
        <v>0.1</v>
      </c>
    </row>
    <row r="109" spans="1:8" ht="16.5">
      <c r="A109" s="294" t="s">
        <v>305</v>
      </c>
      <c r="B109" s="303" t="s">
        <v>1808</v>
      </c>
      <c r="C109" s="303"/>
      <c r="D109" s="303" t="s">
        <v>1803</v>
      </c>
      <c r="E109" s="194"/>
      <c r="F109" s="355" t="e">
        <f ca="1">F106-F107</f>
        <v>#REF!</v>
      </c>
    </row>
    <row r="110" spans="1:8" ht="14.25">
      <c r="A110" s="294" t="s">
        <v>306</v>
      </c>
      <c r="B110" s="303" t="s">
        <v>1809</v>
      </c>
      <c r="C110" s="303" t="s">
        <v>1810</v>
      </c>
      <c r="D110" s="303" t="s">
        <v>1811</v>
      </c>
      <c r="E110" s="194" t="s">
        <v>1812</v>
      </c>
      <c r="F110" s="343" t="e">
        <f ca="1">0.404*F109/1000</f>
        <v>#REF!</v>
      </c>
    </row>
    <row r="111" spans="1:8" ht="14.25">
      <c r="A111" s="294" t="s">
        <v>307</v>
      </c>
      <c r="B111" s="303" t="s">
        <v>1809</v>
      </c>
      <c r="C111" s="303" t="s">
        <v>1813</v>
      </c>
      <c r="D111" s="303" t="s">
        <v>1811</v>
      </c>
      <c r="E111" s="194" t="s">
        <v>1814</v>
      </c>
      <c r="F111" s="359" t="e">
        <f ca="1">F109*0.1229/1000</f>
        <v>#REF!</v>
      </c>
    </row>
    <row r="112" spans="1:8" ht="14.25">
      <c r="A112" s="294" t="s">
        <v>308</v>
      </c>
      <c r="B112" s="303" t="s">
        <v>1809</v>
      </c>
      <c r="C112" s="303" t="s">
        <v>1815</v>
      </c>
      <c r="D112" s="303" t="s">
        <v>1811</v>
      </c>
      <c r="E112" s="194" t="s">
        <v>1816</v>
      </c>
      <c r="F112" s="359" t="e">
        <f ca="1">F109*360/1000/1000</f>
        <v>#REF!</v>
      </c>
    </row>
  </sheetData>
  <mergeCells count="8">
    <mergeCell ref="A97:F97"/>
    <mergeCell ref="B98:B99"/>
    <mergeCell ref="A1:F1"/>
    <mergeCell ref="J2:K3"/>
    <mergeCell ref="A26:K26"/>
    <mergeCell ref="A27:K27"/>
    <mergeCell ref="A38:K39"/>
    <mergeCell ref="A40:F40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3"/>
  <sheetViews>
    <sheetView topLeftCell="A154" workbookViewId="0">
      <selection activeCell="I127" sqref="I127"/>
    </sheetView>
  </sheetViews>
  <sheetFormatPr defaultRowHeight="14.25"/>
  <cols>
    <col min="1" max="1" width="9" style="195"/>
    <col min="2" max="2" width="23.625" style="195" customWidth="1"/>
    <col min="3" max="4" width="9" style="195"/>
    <col min="5" max="5" width="22.375" style="195" customWidth="1"/>
    <col min="6" max="6" width="13.125" style="195" bestFit="1" customWidth="1"/>
    <col min="7" max="7" width="27.625" style="195" customWidth="1"/>
    <col min="8" max="8" width="18.75" style="195" customWidth="1"/>
    <col min="9" max="16384" width="9" style="195"/>
  </cols>
  <sheetData>
    <row r="1" spans="1:8">
      <c r="A1" s="205" t="s">
        <v>1264</v>
      </c>
    </row>
    <row r="2" spans="1:8" ht="14.25" customHeight="1">
      <c r="A2" s="224" t="s">
        <v>321</v>
      </c>
      <c r="B2" s="194" t="s">
        <v>184</v>
      </c>
      <c r="C2" s="194"/>
      <c r="D2" s="227" t="s">
        <v>1265</v>
      </c>
      <c r="E2" s="206" t="e">
        <f>[11]烟、风量计算!AJ93*#REF!</f>
        <v>#REF!</v>
      </c>
    </row>
    <row r="3" spans="1:8">
      <c r="A3" s="224" t="s">
        <v>295</v>
      </c>
      <c r="B3" s="194" t="s">
        <v>1266</v>
      </c>
      <c r="C3" s="194"/>
      <c r="D3" s="227" t="s">
        <v>99</v>
      </c>
      <c r="E3" s="206">
        <v>150</v>
      </c>
    </row>
    <row r="4" spans="1:8">
      <c r="A4" s="224" t="s">
        <v>296</v>
      </c>
      <c r="B4" s="194" t="s">
        <v>222</v>
      </c>
      <c r="C4" s="194"/>
      <c r="D4" s="227" t="s">
        <v>333</v>
      </c>
      <c r="E4" s="207" t="e">
        <f>E2*(273+E3)/273</f>
        <v>#REF!</v>
      </c>
    </row>
    <row r="5" spans="1:8">
      <c r="A5" s="224" t="s">
        <v>297</v>
      </c>
      <c r="B5" s="194" t="s">
        <v>127</v>
      </c>
      <c r="C5" s="194"/>
      <c r="D5" s="194" t="s">
        <v>133</v>
      </c>
      <c r="E5" s="228">
        <v>7</v>
      </c>
    </row>
    <row r="6" spans="1:8">
      <c r="A6" s="224" t="s">
        <v>298</v>
      </c>
      <c r="B6" s="194" t="s">
        <v>1267</v>
      </c>
      <c r="C6" s="194"/>
      <c r="D6" s="194" t="s">
        <v>1268</v>
      </c>
      <c r="E6" s="229" t="e">
        <f>E4/E5/3600</f>
        <v>#REF!</v>
      </c>
    </row>
    <row r="7" spans="1:8">
      <c r="A7" s="224" t="s">
        <v>299</v>
      </c>
      <c r="B7" s="194" t="s">
        <v>1269</v>
      </c>
      <c r="C7" s="194"/>
      <c r="D7" s="194" t="s">
        <v>1268</v>
      </c>
      <c r="E7" s="196">
        <v>0.4</v>
      </c>
    </row>
    <row r="8" spans="1:8">
      <c r="A8" s="224" t="s">
        <v>300</v>
      </c>
      <c r="B8" s="194" t="s">
        <v>1270</v>
      </c>
      <c r="C8" s="194"/>
      <c r="D8" s="194" t="s">
        <v>1268</v>
      </c>
      <c r="E8" s="229" t="e">
        <f>E6/E7</f>
        <v>#REF!</v>
      </c>
    </row>
    <row r="9" spans="1:8">
      <c r="A9" s="224" t="s">
        <v>301</v>
      </c>
      <c r="B9" s="194" t="s">
        <v>146</v>
      </c>
      <c r="C9" s="194"/>
      <c r="D9" s="194" t="s">
        <v>138</v>
      </c>
      <c r="E9" s="196">
        <v>6</v>
      </c>
    </row>
    <row r="10" spans="1:8">
      <c r="A10" s="224" t="s">
        <v>302</v>
      </c>
      <c r="B10" s="194" t="s">
        <v>147</v>
      </c>
      <c r="C10" s="194"/>
      <c r="D10" s="194" t="s">
        <v>138</v>
      </c>
      <c r="E10" s="230" t="e">
        <f>E8/E9</f>
        <v>#REF!</v>
      </c>
    </row>
    <row r="12" spans="1:8">
      <c r="A12" s="205" t="s">
        <v>1271</v>
      </c>
    </row>
    <row r="13" spans="1:8" ht="14.25" customHeight="1">
      <c r="A13" s="224"/>
      <c r="B13" s="224" t="s">
        <v>289</v>
      </c>
      <c r="C13" s="224" t="s">
        <v>288</v>
      </c>
      <c r="D13" s="224" t="s">
        <v>1272</v>
      </c>
      <c r="E13" s="224" t="s">
        <v>325</v>
      </c>
      <c r="F13" s="224" t="s">
        <v>326</v>
      </c>
    </row>
    <row r="14" spans="1:8">
      <c r="A14" s="224" t="s">
        <v>321</v>
      </c>
      <c r="B14" s="231" t="s">
        <v>1273</v>
      </c>
      <c r="C14" s="232" t="s">
        <v>1274</v>
      </c>
      <c r="D14" s="232" t="s">
        <v>286</v>
      </c>
      <c r="E14" s="231" t="s">
        <v>1005</v>
      </c>
      <c r="F14" s="233">
        <v>220</v>
      </c>
      <c r="G14" s="234" t="s">
        <v>1275</v>
      </c>
    </row>
    <row r="15" spans="1:8">
      <c r="A15" s="224" t="s">
        <v>295</v>
      </c>
      <c r="B15" s="231" t="s">
        <v>1276</v>
      </c>
      <c r="C15" s="232" t="s">
        <v>137</v>
      </c>
      <c r="D15" s="232" t="s">
        <v>1277</v>
      </c>
      <c r="E15" s="231" t="s">
        <v>1278</v>
      </c>
      <c r="F15" s="235">
        <v>1</v>
      </c>
      <c r="G15" s="236" t="s">
        <v>1279</v>
      </c>
    </row>
    <row r="16" spans="1:8">
      <c r="A16" s="224" t="s">
        <v>296</v>
      </c>
      <c r="B16" s="231" t="s">
        <v>1280</v>
      </c>
      <c r="C16" s="232" t="s">
        <v>319</v>
      </c>
      <c r="D16" s="232" t="s">
        <v>410</v>
      </c>
      <c r="E16" s="231" t="s">
        <v>1281</v>
      </c>
      <c r="F16" s="237">
        <v>1E-3</v>
      </c>
      <c r="G16" s="236" t="s">
        <v>1279</v>
      </c>
      <c r="H16" s="238" t="s">
        <v>1282</v>
      </c>
    </row>
    <row r="17" spans="1:7">
      <c r="A17" s="224" t="s">
        <v>297</v>
      </c>
      <c r="B17" s="231" t="s">
        <v>1283</v>
      </c>
      <c r="C17" s="232" t="s">
        <v>1284</v>
      </c>
      <c r="D17" s="232" t="s">
        <v>1285</v>
      </c>
      <c r="E17" s="231" t="s">
        <v>1286</v>
      </c>
      <c r="F17" s="239">
        <f>F14*1000*F16</f>
        <v>220</v>
      </c>
      <c r="G17" s="240" t="s">
        <v>1236</v>
      </c>
    </row>
    <row r="18" spans="1:7">
      <c r="A18" s="224" t="s">
        <v>298</v>
      </c>
      <c r="B18" s="231" t="s">
        <v>1287</v>
      </c>
      <c r="C18" s="232" t="s">
        <v>279</v>
      </c>
      <c r="D18" s="232" t="s">
        <v>283</v>
      </c>
      <c r="E18" s="231"/>
      <c r="F18" s="239">
        <v>16</v>
      </c>
      <c r="G18" s="234" t="s">
        <v>1275</v>
      </c>
    </row>
    <row r="19" spans="1:7" ht="18.75">
      <c r="A19" s="224" t="s">
        <v>299</v>
      </c>
      <c r="B19" s="241" t="s">
        <v>1288</v>
      </c>
      <c r="C19" s="232" t="s">
        <v>1289</v>
      </c>
      <c r="D19" s="232" t="s">
        <v>105</v>
      </c>
      <c r="E19" s="231" t="s">
        <v>1287</v>
      </c>
      <c r="F19" s="239" t="e">
        <f ca="1">HL_P($F$18)</f>
        <v>#NAME?</v>
      </c>
      <c r="G19" s="242" t="s">
        <v>1290</v>
      </c>
    </row>
    <row r="20" spans="1:7" ht="24">
      <c r="A20" s="224" t="s">
        <v>300</v>
      </c>
      <c r="B20" s="241" t="s">
        <v>1291</v>
      </c>
      <c r="C20" s="232"/>
      <c r="D20" s="232"/>
      <c r="E20" s="241" t="s">
        <v>1292</v>
      </c>
      <c r="F20" s="239">
        <v>0.15</v>
      </c>
      <c r="G20" s="243" t="s">
        <v>1293</v>
      </c>
    </row>
    <row r="21" spans="1:7">
      <c r="A21" s="224" t="s">
        <v>301</v>
      </c>
      <c r="B21" s="241" t="s">
        <v>1294</v>
      </c>
      <c r="C21" s="232" t="s">
        <v>1295</v>
      </c>
      <c r="D21" s="232" t="s">
        <v>1296</v>
      </c>
      <c r="E21" s="241"/>
      <c r="F21" s="239" t="e">
        <f ca="1">HL_P(F20)</f>
        <v>#NAME?</v>
      </c>
      <c r="G21" s="242" t="s">
        <v>1290</v>
      </c>
    </row>
    <row r="22" spans="1:7">
      <c r="A22" s="224" t="s">
        <v>1297</v>
      </c>
      <c r="B22" s="241" t="s">
        <v>1298</v>
      </c>
      <c r="C22" s="232" t="s">
        <v>1299</v>
      </c>
      <c r="D22" s="232" t="s">
        <v>1296</v>
      </c>
      <c r="E22" s="231" t="s">
        <v>1300</v>
      </c>
      <c r="F22" s="239" t="e">
        <f ca="1">HG_P(F20)-F21</f>
        <v>#NAME?</v>
      </c>
      <c r="G22" s="242" t="s">
        <v>1301</v>
      </c>
    </row>
    <row r="23" spans="1:7">
      <c r="A23" s="224" t="s">
        <v>303</v>
      </c>
      <c r="B23" s="241" t="s">
        <v>1302</v>
      </c>
      <c r="C23" s="232" t="s">
        <v>1114</v>
      </c>
      <c r="D23" s="232" t="s">
        <v>1303</v>
      </c>
      <c r="E23" s="231">
        <v>2000</v>
      </c>
      <c r="F23" s="244">
        <v>2000</v>
      </c>
      <c r="G23" s="243" t="s">
        <v>1304</v>
      </c>
    </row>
    <row r="24" spans="1:7">
      <c r="A24" s="224" t="s">
        <v>304</v>
      </c>
      <c r="B24" s="241" t="s">
        <v>1305</v>
      </c>
      <c r="C24" s="232"/>
      <c r="D24" s="232"/>
      <c r="E24" s="231" t="s">
        <v>1306</v>
      </c>
      <c r="F24" s="244">
        <v>1.4</v>
      </c>
      <c r="G24" s="243" t="s">
        <v>1304</v>
      </c>
    </row>
    <row r="25" spans="1:7">
      <c r="A25" s="224" t="s">
        <v>305</v>
      </c>
      <c r="B25" s="241" t="s">
        <v>1307</v>
      </c>
      <c r="C25" s="232" t="s">
        <v>1308</v>
      </c>
      <c r="D25" s="232" t="s">
        <v>1309</v>
      </c>
      <c r="F25" s="239" t="e">
        <f ca="1">60*F17*(F19-F21)/F15/F23/F22*F24</f>
        <v>#NAME?</v>
      </c>
      <c r="G25" s="245" t="s">
        <v>1236</v>
      </c>
    </row>
    <row r="26" spans="1:7">
      <c r="A26" s="224" t="s">
        <v>306</v>
      </c>
      <c r="B26" s="246" t="s">
        <v>189</v>
      </c>
      <c r="C26" s="486" t="s">
        <v>1310</v>
      </c>
      <c r="D26" s="487"/>
      <c r="E26" s="487"/>
      <c r="F26" s="488"/>
      <c r="G26" s="243" t="s">
        <v>1311</v>
      </c>
    </row>
    <row r="27" spans="1:7">
      <c r="A27" s="205" t="s">
        <v>1312</v>
      </c>
      <c r="G27" s="247"/>
    </row>
    <row r="28" spans="1:7">
      <c r="A28" s="224"/>
      <c r="B28" s="224" t="s">
        <v>289</v>
      </c>
      <c r="C28" s="224" t="s">
        <v>288</v>
      </c>
      <c r="D28" s="224" t="s">
        <v>1272</v>
      </c>
      <c r="E28" s="224" t="s">
        <v>325</v>
      </c>
      <c r="F28" s="224" t="s">
        <v>326</v>
      </c>
    </row>
    <row r="29" spans="1:7">
      <c r="A29" s="224" t="s">
        <v>321</v>
      </c>
      <c r="B29" s="231" t="s">
        <v>1273</v>
      </c>
      <c r="C29" s="232" t="s">
        <v>1274</v>
      </c>
      <c r="D29" s="232" t="s">
        <v>286</v>
      </c>
      <c r="E29" s="231" t="s">
        <v>1005</v>
      </c>
      <c r="F29" s="233">
        <v>220</v>
      </c>
      <c r="G29" s="234" t="s">
        <v>1275</v>
      </c>
    </row>
    <row r="30" spans="1:7">
      <c r="A30" s="224" t="s">
        <v>296</v>
      </c>
      <c r="B30" s="231" t="s">
        <v>1313</v>
      </c>
      <c r="C30" s="232" t="s">
        <v>319</v>
      </c>
      <c r="D30" s="232" t="s">
        <v>410</v>
      </c>
      <c r="E30" s="231" t="s">
        <v>1314</v>
      </c>
      <c r="F30" s="237">
        <v>0.02</v>
      </c>
      <c r="G30" s="236" t="s">
        <v>1279</v>
      </c>
    </row>
    <row r="31" spans="1:7">
      <c r="A31" s="224" t="s">
        <v>297</v>
      </c>
      <c r="B31" s="231" t="s">
        <v>1315</v>
      </c>
      <c r="C31" s="232" t="s">
        <v>1284</v>
      </c>
      <c r="D31" s="232" t="s">
        <v>1285</v>
      </c>
      <c r="E31" s="231" t="s">
        <v>1316</v>
      </c>
      <c r="F31" s="239">
        <f>F29*1000*F30</f>
        <v>4400</v>
      </c>
      <c r="G31" s="240" t="s">
        <v>1236</v>
      </c>
    </row>
    <row r="32" spans="1:7">
      <c r="A32" s="224" t="s">
        <v>298</v>
      </c>
      <c r="B32" s="231" t="s">
        <v>1287</v>
      </c>
      <c r="C32" s="232" t="s">
        <v>279</v>
      </c>
      <c r="D32" s="232" t="s">
        <v>283</v>
      </c>
      <c r="E32" s="231"/>
      <c r="F32" s="239">
        <v>16</v>
      </c>
      <c r="G32" s="234" t="s">
        <v>1275</v>
      </c>
    </row>
    <row r="33" spans="1:7" ht="18.75">
      <c r="A33" s="224" t="s">
        <v>299</v>
      </c>
      <c r="B33" s="241" t="s">
        <v>1288</v>
      </c>
      <c r="C33" s="232" t="s">
        <v>1289</v>
      </c>
      <c r="D33" s="232" t="s">
        <v>105</v>
      </c>
      <c r="E33" s="231" t="s">
        <v>1287</v>
      </c>
      <c r="F33" s="239" t="e">
        <f ca="1">HL_P(F32)</f>
        <v>#NAME?</v>
      </c>
      <c r="G33" s="242" t="s">
        <v>1301</v>
      </c>
    </row>
    <row r="34" spans="1:7" ht="24">
      <c r="A34" s="224" t="s">
        <v>300</v>
      </c>
      <c r="B34" s="241" t="s">
        <v>1317</v>
      </c>
      <c r="C34" s="232"/>
      <c r="D34" s="232"/>
      <c r="E34" s="241" t="s">
        <v>1318</v>
      </c>
      <c r="F34" s="239">
        <v>0.45</v>
      </c>
      <c r="G34" s="243" t="s">
        <v>1279</v>
      </c>
    </row>
    <row r="35" spans="1:7">
      <c r="A35" s="224" t="s">
        <v>301</v>
      </c>
      <c r="B35" s="241" t="s">
        <v>1319</v>
      </c>
      <c r="C35" s="232" t="s">
        <v>1320</v>
      </c>
      <c r="D35" s="232" t="s">
        <v>105</v>
      </c>
      <c r="E35" s="241"/>
      <c r="F35" s="239" t="e">
        <f ca="1">HL_P(F34)</f>
        <v>#NAME?</v>
      </c>
      <c r="G35" s="242" t="s">
        <v>1301</v>
      </c>
    </row>
    <row r="36" spans="1:7">
      <c r="A36" s="224" t="s">
        <v>302</v>
      </c>
      <c r="B36" s="241" t="s">
        <v>1321</v>
      </c>
      <c r="C36" s="232" t="s">
        <v>1322</v>
      </c>
      <c r="D36" s="232" t="s">
        <v>1323</v>
      </c>
      <c r="E36" s="231" t="s">
        <v>1324</v>
      </c>
      <c r="F36" s="239" t="e">
        <f ca="1">VG_P(F34)</f>
        <v>#NAME?</v>
      </c>
      <c r="G36" s="242" t="s">
        <v>1301</v>
      </c>
    </row>
    <row r="37" spans="1:7">
      <c r="A37" s="224" t="s">
        <v>303</v>
      </c>
      <c r="B37" s="241" t="s">
        <v>1325</v>
      </c>
      <c r="C37" s="232" t="s">
        <v>201</v>
      </c>
      <c r="D37" s="232" t="s">
        <v>105</v>
      </c>
      <c r="E37" s="231" t="s">
        <v>1326</v>
      </c>
      <c r="F37" s="239" t="e">
        <f ca="1">HG_P(F34)-F35</f>
        <v>#NAME?</v>
      </c>
      <c r="G37" s="245" t="s">
        <v>1236</v>
      </c>
    </row>
    <row r="38" spans="1:7">
      <c r="A38" s="224" t="s">
        <v>305</v>
      </c>
      <c r="B38" s="241" t="s">
        <v>1327</v>
      </c>
      <c r="C38" s="232" t="s">
        <v>1182</v>
      </c>
      <c r="D38" s="232"/>
      <c r="E38" s="231" t="s">
        <v>1328</v>
      </c>
      <c r="F38" s="244">
        <v>0.97</v>
      </c>
      <c r="G38" s="243" t="s">
        <v>1279</v>
      </c>
    </row>
    <row r="39" spans="1:7">
      <c r="A39" s="224" t="s">
        <v>306</v>
      </c>
      <c r="B39" s="241" t="s">
        <v>1302</v>
      </c>
      <c r="C39" s="232" t="s">
        <v>1114</v>
      </c>
      <c r="D39" s="232" t="s">
        <v>1303</v>
      </c>
      <c r="E39" s="231">
        <v>2000</v>
      </c>
      <c r="F39" s="244">
        <v>2000</v>
      </c>
      <c r="G39" s="243" t="s">
        <v>1329</v>
      </c>
    </row>
    <row r="40" spans="1:7">
      <c r="A40" s="224" t="s">
        <v>307</v>
      </c>
      <c r="B40" s="241" t="s">
        <v>1330</v>
      </c>
      <c r="C40" s="232" t="s">
        <v>1331</v>
      </c>
      <c r="D40" s="232" t="s">
        <v>1285</v>
      </c>
      <c r="E40" s="231" t="s">
        <v>1332</v>
      </c>
      <c r="F40" s="239" t="e">
        <f ca="1">(F33*0.98-F35)/(F38*F37)</f>
        <v>#NAME?</v>
      </c>
      <c r="G40" s="245" t="s">
        <v>1236</v>
      </c>
    </row>
    <row r="41" spans="1:7">
      <c r="A41" s="224" t="s">
        <v>308</v>
      </c>
      <c r="B41" s="241" t="s">
        <v>1333</v>
      </c>
      <c r="C41" s="232"/>
      <c r="D41" s="232"/>
      <c r="E41" s="231" t="s">
        <v>1334</v>
      </c>
      <c r="F41" s="239">
        <v>1.2</v>
      </c>
      <c r="G41" s="243" t="s">
        <v>1304</v>
      </c>
    </row>
    <row r="42" spans="1:7">
      <c r="A42" s="224" t="s">
        <v>309</v>
      </c>
      <c r="B42" s="241" t="s">
        <v>1335</v>
      </c>
      <c r="C42" s="232" t="s">
        <v>1308</v>
      </c>
      <c r="D42" s="232" t="s">
        <v>1309</v>
      </c>
      <c r="E42" s="231" t="s">
        <v>1336</v>
      </c>
      <c r="F42" s="239" t="e">
        <f ca="1">F31*F40*F36/F39*F41</f>
        <v>#NAME?</v>
      </c>
      <c r="G42" s="245" t="s">
        <v>1236</v>
      </c>
    </row>
    <row r="43" spans="1:7">
      <c r="A43" s="224" t="s">
        <v>311</v>
      </c>
      <c r="B43" s="246" t="s">
        <v>189</v>
      </c>
      <c r="C43" s="486" t="s">
        <v>1337</v>
      </c>
      <c r="D43" s="487"/>
      <c r="E43" s="487"/>
      <c r="F43" s="488"/>
      <c r="G43" s="243" t="s">
        <v>1311</v>
      </c>
    </row>
    <row r="44" spans="1:7">
      <c r="A44" s="205" t="s">
        <v>1338</v>
      </c>
    </row>
    <row r="45" spans="1:7">
      <c r="A45" s="248"/>
      <c r="B45" s="249" t="s">
        <v>1339</v>
      </c>
      <c r="C45" s="250" t="s">
        <v>491</v>
      </c>
      <c r="D45" s="250" t="s">
        <v>1309</v>
      </c>
      <c r="E45" s="249" t="s">
        <v>1340</v>
      </c>
      <c r="F45" s="251">
        <v>120</v>
      </c>
      <c r="G45" s="234" t="s">
        <v>1341</v>
      </c>
    </row>
    <row r="46" spans="1:7" ht="18.75">
      <c r="A46" s="224" t="s">
        <v>321</v>
      </c>
      <c r="B46" s="252" t="s">
        <v>1342</v>
      </c>
      <c r="C46" s="250" t="s">
        <v>1343</v>
      </c>
      <c r="D46" s="250" t="s">
        <v>1344</v>
      </c>
      <c r="E46" s="252" t="s">
        <v>1345</v>
      </c>
      <c r="F46" s="253">
        <v>20</v>
      </c>
      <c r="G46" s="243" t="s">
        <v>1293</v>
      </c>
    </row>
    <row r="47" spans="1:7">
      <c r="A47" s="224" t="s">
        <v>295</v>
      </c>
      <c r="B47" s="249" t="s">
        <v>1346</v>
      </c>
      <c r="C47" s="250" t="s">
        <v>1347</v>
      </c>
      <c r="D47" s="250" t="s">
        <v>1348</v>
      </c>
      <c r="E47" s="249" t="s">
        <v>1349</v>
      </c>
      <c r="F47" s="253">
        <v>8.5</v>
      </c>
      <c r="G47" s="243" t="s">
        <v>1293</v>
      </c>
    </row>
    <row r="48" spans="1:7">
      <c r="A48" s="224" t="s">
        <v>296</v>
      </c>
      <c r="B48" s="249" t="s">
        <v>1350</v>
      </c>
      <c r="C48" s="250" t="s">
        <v>1351</v>
      </c>
      <c r="D48" s="250" t="s">
        <v>1352</v>
      </c>
      <c r="E48" s="249" t="s">
        <v>1353</v>
      </c>
      <c r="F48" s="253">
        <v>0.95</v>
      </c>
      <c r="G48" s="243" t="s">
        <v>1354</v>
      </c>
    </row>
    <row r="49" spans="1:7" ht="18.75">
      <c r="A49" s="224" t="s">
        <v>297</v>
      </c>
      <c r="B49" s="249" t="s">
        <v>1355</v>
      </c>
      <c r="C49" s="250" t="s">
        <v>1356</v>
      </c>
      <c r="D49" s="250" t="s">
        <v>1357</v>
      </c>
      <c r="E49" s="249" t="s">
        <v>1358</v>
      </c>
      <c r="F49" s="254">
        <f>F45*(F46+28.5*F47)/250/F48</f>
        <v>132.50526315789475</v>
      </c>
      <c r="G49" s="245" t="s">
        <v>1359</v>
      </c>
    </row>
    <row r="50" spans="1:7" ht="18.75">
      <c r="A50" s="224" t="s">
        <v>298</v>
      </c>
      <c r="B50" s="252" t="s">
        <v>1360</v>
      </c>
      <c r="C50" s="250" t="s">
        <v>1361</v>
      </c>
      <c r="D50" s="250" t="s">
        <v>1362</v>
      </c>
      <c r="E50" s="249" t="s">
        <v>1363</v>
      </c>
      <c r="F50" s="251">
        <v>120</v>
      </c>
      <c r="G50" s="234" t="s">
        <v>1364</v>
      </c>
    </row>
    <row r="51" spans="1:7" ht="18.75">
      <c r="A51" s="224" t="s">
        <v>299</v>
      </c>
      <c r="B51" s="252" t="s">
        <v>1365</v>
      </c>
      <c r="C51" s="250" t="s">
        <v>1366</v>
      </c>
      <c r="D51" s="250" t="s">
        <v>1362</v>
      </c>
      <c r="E51" s="249"/>
      <c r="F51" s="251">
        <f>F50*F30</f>
        <v>2.4</v>
      </c>
      <c r="G51" s="245" t="s">
        <v>1359</v>
      </c>
    </row>
    <row r="52" spans="1:7" ht="18.75">
      <c r="A52" s="224" t="s">
        <v>300</v>
      </c>
      <c r="B52" s="249" t="s">
        <v>1367</v>
      </c>
      <c r="C52" s="250" t="s">
        <v>1356</v>
      </c>
      <c r="D52" s="250" t="s">
        <v>1368</v>
      </c>
      <c r="E52" s="252" t="s">
        <v>1369</v>
      </c>
      <c r="F52" s="254">
        <f>(28.5*F47*F50+F46*F51)/250/F48</f>
        <v>122.6021052631579</v>
      </c>
      <c r="G52" s="245" t="s">
        <v>1359</v>
      </c>
    </row>
    <row r="53" spans="1:7">
      <c r="A53" s="224" t="s">
        <v>301</v>
      </c>
      <c r="B53" s="249" t="s">
        <v>1370</v>
      </c>
      <c r="C53" s="250" t="s">
        <v>1371</v>
      </c>
      <c r="D53" s="250" t="s">
        <v>1372</v>
      </c>
      <c r="E53" s="231" t="s">
        <v>1373</v>
      </c>
      <c r="F53" s="255">
        <v>0.04</v>
      </c>
      <c r="G53" s="243" t="s">
        <v>1354</v>
      </c>
    </row>
    <row r="54" spans="1:7">
      <c r="A54" s="224" t="s">
        <v>302</v>
      </c>
      <c r="B54" s="256" t="s">
        <v>1374</v>
      </c>
      <c r="C54" s="250" t="s">
        <v>1375</v>
      </c>
      <c r="D54" s="250" t="s">
        <v>1376</v>
      </c>
      <c r="E54" s="231" t="s">
        <v>1377</v>
      </c>
      <c r="F54" s="257">
        <v>1.0405</v>
      </c>
      <c r="G54" s="243" t="s">
        <v>1354</v>
      </c>
    </row>
    <row r="55" spans="1:7" ht="18.75">
      <c r="A55" s="224" t="s">
        <v>303</v>
      </c>
      <c r="B55" s="256" t="s">
        <v>1378</v>
      </c>
      <c r="C55" s="250" t="s">
        <v>1379</v>
      </c>
      <c r="D55" s="250" t="s">
        <v>1380</v>
      </c>
      <c r="E55" s="252" t="s">
        <v>1381</v>
      </c>
      <c r="F55" s="258">
        <f>(F52)/(10*F53*F54)</f>
        <v>294.57497660537695</v>
      </c>
      <c r="G55" s="245" t="s">
        <v>1359</v>
      </c>
    </row>
    <row r="56" spans="1:7">
      <c r="A56" s="205" t="s">
        <v>1382</v>
      </c>
    </row>
    <row r="57" spans="1:7">
      <c r="A57" s="259" t="s">
        <v>321</v>
      </c>
      <c r="B57" s="249" t="s">
        <v>1383</v>
      </c>
      <c r="C57" s="260" t="s">
        <v>1384</v>
      </c>
      <c r="D57" s="250" t="s">
        <v>1385</v>
      </c>
      <c r="E57" s="249" t="s">
        <v>1386</v>
      </c>
      <c r="F57" s="261">
        <v>9.8000000000000007</v>
      </c>
      <c r="G57" s="234" t="s">
        <v>1364</v>
      </c>
    </row>
    <row r="58" spans="1:7" ht="36">
      <c r="A58" s="259" t="s">
        <v>295</v>
      </c>
      <c r="B58" s="252" t="s">
        <v>1387</v>
      </c>
      <c r="C58" s="260" t="s">
        <v>1388</v>
      </c>
      <c r="D58" s="250" t="s">
        <v>1385</v>
      </c>
      <c r="E58" s="252" t="s">
        <v>1389</v>
      </c>
      <c r="F58" s="262">
        <v>10.63</v>
      </c>
      <c r="G58" s="243" t="s">
        <v>1354</v>
      </c>
    </row>
    <row r="59" spans="1:7">
      <c r="A59" s="259" t="s">
        <v>296</v>
      </c>
      <c r="B59" s="249" t="s">
        <v>1390</v>
      </c>
      <c r="C59" s="260" t="s">
        <v>1391</v>
      </c>
      <c r="D59" s="250" t="s">
        <v>1385</v>
      </c>
      <c r="E59" s="249" t="s">
        <v>1386</v>
      </c>
      <c r="F59" s="262">
        <v>0.59</v>
      </c>
      <c r="G59" s="243" t="s">
        <v>1354</v>
      </c>
    </row>
    <row r="60" spans="1:7" ht="18.75">
      <c r="A60" s="259" t="s">
        <v>297</v>
      </c>
      <c r="B60" s="249" t="s">
        <v>1392</v>
      </c>
      <c r="C60" s="260" t="s">
        <v>1393</v>
      </c>
      <c r="D60" s="250" t="s">
        <v>1352</v>
      </c>
      <c r="E60" s="249" t="s">
        <v>1394</v>
      </c>
      <c r="F60" s="263">
        <v>5</v>
      </c>
      <c r="G60" s="243" t="s">
        <v>1354</v>
      </c>
    </row>
    <row r="61" spans="1:7" ht="18.75">
      <c r="A61" s="259" t="s">
        <v>298</v>
      </c>
      <c r="B61" s="249" t="s">
        <v>1395</v>
      </c>
      <c r="C61" s="260" t="s">
        <v>1396</v>
      </c>
      <c r="D61" s="250" t="s">
        <v>1352</v>
      </c>
      <c r="E61" s="249" t="s">
        <v>1397</v>
      </c>
      <c r="F61" s="263">
        <v>5</v>
      </c>
      <c r="G61" s="243" t="s">
        <v>1354</v>
      </c>
    </row>
    <row r="62" spans="1:7" ht="24">
      <c r="A62" s="259" t="s">
        <v>299</v>
      </c>
      <c r="B62" s="252" t="s">
        <v>1398</v>
      </c>
      <c r="C62" s="260" t="s">
        <v>1399</v>
      </c>
      <c r="D62" s="250" t="s">
        <v>1352</v>
      </c>
      <c r="E62" s="249" t="s">
        <v>1386</v>
      </c>
      <c r="F62" s="262">
        <v>20</v>
      </c>
      <c r="G62" s="243" t="s">
        <v>1400</v>
      </c>
    </row>
    <row r="63" spans="1:7" ht="24">
      <c r="A63" s="259" t="s">
        <v>300</v>
      </c>
      <c r="B63" s="252" t="s">
        <v>1401</v>
      </c>
      <c r="C63" s="260" t="s">
        <v>1402</v>
      </c>
      <c r="D63" s="250" t="s">
        <v>1352</v>
      </c>
      <c r="E63" s="249" t="s">
        <v>1386</v>
      </c>
      <c r="F63" s="264">
        <v>25</v>
      </c>
      <c r="G63" s="243" t="s">
        <v>1400</v>
      </c>
    </row>
    <row r="64" spans="1:7" ht="27">
      <c r="A64" s="259" t="s">
        <v>301</v>
      </c>
      <c r="B64" s="249" t="s">
        <v>1403</v>
      </c>
      <c r="C64" s="260" t="s">
        <v>1404</v>
      </c>
      <c r="D64" s="250" t="s">
        <v>1352</v>
      </c>
      <c r="E64" s="252" t="s">
        <v>1405</v>
      </c>
      <c r="F64" s="265">
        <f>(F58-F59)*102+1.2*(F60+F61)+F62-F63</f>
        <v>1031.0800000000002</v>
      </c>
      <c r="G64" s="245" t="s">
        <v>1359</v>
      </c>
    </row>
    <row r="65" spans="1:7">
      <c r="A65" s="259" t="s">
        <v>302</v>
      </c>
      <c r="B65" s="249" t="s">
        <v>1406</v>
      </c>
      <c r="C65" s="260" t="s">
        <v>1407</v>
      </c>
      <c r="D65" s="250" t="s">
        <v>1362</v>
      </c>
      <c r="E65" s="252" t="s">
        <v>1408</v>
      </c>
      <c r="F65" s="263">
        <v>110</v>
      </c>
      <c r="G65" s="243" t="s">
        <v>1400</v>
      </c>
    </row>
    <row r="66" spans="1:7">
      <c r="A66" s="259" t="s">
        <v>303</v>
      </c>
      <c r="B66" s="249" t="s">
        <v>1409</v>
      </c>
      <c r="C66" s="266" t="s">
        <v>1410</v>
      </c>
      <c r="D66" s="267" t="s">
        <v>1372</v>
      </c>
      <c r="E66" s="249" t="s">
        <v>1411</v>
      </c>
      <c r="F66" s="268">
        <v>0.7</v>
      </c>
      <c r="G66" s="243" t="s">
        <v>1354</v>
      </c>
    </row>
    <row r="67" spans="1:7">
      <c r="A67" s="259" t="s">
        <v>304</v>
      </c>
      <c r="B67" s="249" t="s">
        <v>1412</v>
      </c>
      <c r="C67" s="266" t="s">
        <v>1413</v>
      </c>
      <c r="D67" s="267" t="s">
        <v>1372</v>
      </c>
      <c r="E67" s="249" t="s">
        <v>1414</v>
      </c>
      <c r="F67" s="268">
        <v>0.98</v>
      </c>
      <c r="G67" s="243" t="s">
        <v>1354</v>
      </c>
    </row>
    <row r="68" spans="1:7">
      <c r="A68" s="259" t="s">
        <v>305</v>
      </c>
      <c r="B68" s="249" t="s">
        <v>1415</v>
      </c>
      <c r="C68" s="266" t="s">
        <v>1416</v>
      </c>
      <c r="D68" s="267" t="s">
        <v>1372</v>
      </c>
      <c r="E68" s="249" t="s">
        <v>1417</v>
      </c>
      <c r="F68" s="268">
        <v>0.9</v>
      </c>
      <c r="G68" s="243" t="s">
        <v>1354</v>
      </c>
    </row>
    <row r="69" spans="1:7">
      <c r="A69" s="259" t="s">
        <v>306</v>
      </c>
      <c r="B69" s="249" t="s">
        <v>1418</v>
      </c>
      <c r="C69" s="269" t="s">
        <v>1419</v>
      </c>
      <c r="D69" s="249" t="s">
        <v>1372</v>
      </c>
      <c r="E69" s="249" t="s">
        <v>1420</v>
      </c>
      <c r="F69" s="263">
        <v>1.1499999999999999</v>
      </c>
      <c r="G69" s="243" t="s">
        <v>1354</v>
      </c>
    </row>
    <row r="70" spans="1:7">
      <c r="A70" s="259" t="s">
        <v>307</v>
      </c>
      <c r="B70" s="249" t="s">
        <v>1421</v>
      </c>
      <c r="C70" s="260" t="s">
        <v>1384</v>
      </c>
      <c r="D70" s="250" t="s">
        <v>1422</v>
      </c>
      <c r="E70" s="231" t="s">
        <v>1423</v>
      </c>
      <c r="F70" s="265">
        <f>1.15*1000*9.8*F64*1.15*F65/3600/1000/0.7/0.98/0.9</f>
        <v>661.35962522045861</v>
      </c>
      <c r="G70" s="245" t="s">
        <v>1359</v>
      </c>
    </row>
    <row r="71" spans="1:7" ht="15" thickBot="1">
      <c r="A71" s="259" t="s">
        <v>308</v>
      </c>
      <c r="B71" s="270" t="s">
        <v>1424</v>
      </c>
      <c r="C71" s="489"/>
      <c r="D71" s="489"/>
      <c r="E71" s="489"/>
      <c r="F71" s="490"/>
      <c r="G71" s="243" t="s">
        <v>1400</v>
      </c>
    </row>
    <row r="72" spans="1:7">
      <c r="A72" s="205" t="s">
        <v>1425</v>
      </c>
    </row>
    <row r="73" spans="1:7">
      <c r="A73" s="224" t="s">
        <v>321</v>
      </c>
      <c r="B73" s="231" t="s">
        <v>1426</v>
      </c>
      <c r="C73" s="232" t="s">
        <v>1427</v>
      </c>
      <c r="D73" s="232" t="s">
        <v>1362</v>
      </c>
      <c r="E73" s="231" t="s">
        <v>1386</v>
      </c>
      <c r="F73" s="233">
        <v>220</v>
      </c>
      <c r="G73" s="234" t="s">
        <v>1364</v>
      </c>
    </row>
    <row r="74" spans="1:7">
      <c r="A74" s="224" t="s">
        <v>295</v>
      </c>
      <c r="B74" s="231" t="s">
        <v>1428</v>
      </c>
      <c r="C74" s="232" t="s">
        <v>1429</v>
      </c>
      <c r="D74" s="232" t="s">
        <v>1362</v>
      </c>
      <c r="E74" s="231" t="s">
        <v>1430</v>
      </c>
      <c r="F74" s="233">
        <v>0</v>
      </c>
      <c r="G74" s="243" t="s">
        <v>1400</v>
      </c>
    </row>
    <row r="75" spans="1:7">
      <c r="A75" s="224" t="s">
        <v>296</v>
      </c>
      <c r="B75" s="231" t="s">
        <v>1431</v>
      </c>
      <c r="C75" s="232" t="s">
        <v>1432</v>
      </c>
      <c r="D75" s="232" t="s">
        <v>1362</v>
      </c>
      <c r="E75" s="271">
        <v>0.03</v>
      </c>
      <c r="F75" s="272">
        <f>0.03*(F73+F74)</f>
        <v>6.6</v>
      </c>
      <c r="G75" s="245" t="s">
        <v>1359</v>
      </c>
    </row>
    <row r="76" spans="1:7">
      <c r="A76" s="224" t="s">
        <v>297</v>
      </c>
      <c r="B76" s="231" t="s">
        <v>1433</v>
      </c>
      <c r="C76" s="232" t="s">
        <v>1434</v>
      </c>
      <c r="D76" s="232" t="s">
        <v>1362</v>
      </c>
      <c r="E76" s="271">
        <v>0.02</v>
      </c>
      <c r="F76" s="272">
        <f>0.02*(F73+F74)</f>
        <v>4.4000000000000004</v>
      </c>
      <c r="G76" s="245" t="s">
        <v>1359</v>
      </c>
    </row>
    <row r="77" spans="1:7">
      <c r="A77" s="224" t="s">
        <v>298</v>
      </c>
      <c r="B77" s="231" t="s">
        <v>1435</v>
      </c>
      <c r="C77" s="232" t="s">
        <v>1436</v>
      </c>
      <c r="D77" s="232" t="s">
        <v>1362</v>
      </c>
      <c r="E77" s="231" t="s">
        <v>1386</v>
      </c>
      <c r="F77" s="233">
        <v>148</v>
      </c>
      <c r="G77" s="234" t="s">
        <v>1437</v>
      </c>
    </row>
    <row r="78" spans="1:7">
      <c r="A78" s="224" t="s">
        <v>299</v>
      </c>
      <c r="B78" s="231" t="s">
        <v>1438</v>
      </c>
      <c r="C78" s="232" t="s">
        <v>1439</v>
      </c>
      <c r="D78" s="232" t="s">
        <v>1362</v>
      </c>
      <c r="E78" s="271">
        <v>0.02</v>
      </c>
      <c r="F78" s="272">
        <f>0.02*F77</f>
        <v>2.96</v>
      </c>
      <c r="G78" s="245" t="s">
        <v>1359</v>
      </c>
    </row>
    <row r="79" spans="1:7">
      <c r="A79" s="224" t="s">
        <v>300</v>
      </c>
      <c r="B79" s="231" t="s">
        <v>1440</v>
      </c>
      <c r="C79" s="232" t="s">
        <v>1441</v>
      </c>
      <c r="D79" s="232" t="s">
        <v>1362</v>
      </c>
      <c r="E79" s="271"/>
      <c r="F79" s="272">
        <f>F75+F76+F78</f>
        <v>13.96</v>
      </c>
      <c r="G79" s="245" t="s">
        <v>1359</v>
      </c>
    </row>
    <row r="80" spans="1:7">
      <c r="A80" s="224" t="s">
        <v>301</v>
      </c>
      <c r="B80" s="491" t="s">
        <v>1442</v>
      </c>
      <c r="C80" s="232" t="s">
        <v>1443</v>
      </c>
      <c r="D80" s="232" t="s">
        <v>1362</v>
      </c>
      <c r="E80" s="271" t="s">
        <v>1444</v>
      </c>
      <c r="F80" s="273">
        <f>(1+F81)*(F82+F83)*F79/F82</f>
        <v>18.427200000000003</v>
      </c>
      <c r="G80" s="274" t="s">
        <v>1445</v>
      </c>
    </row>
    <row r="81" spans="1:7">
      <c r="A81" s="224" t="s">
        <v>302</v>
      </c>
      <c r="B81" s="491"/>
      <c r="C81" s="250" t="s">
        <v>1446</v>
      </c>
      <c r="D81" s="224" t="s">
        <v>1372</v>
      </c>
      <c r="E81" s="231" t="s">
        <v>1447</v>
      </c>
      <c r="F81" s="194">
        <v>0.1</v>
      </c>
      <c r="G81" s="274" t="s">
        <v>1445</v>
      </c>
    </row>
    <row r="82" spans="1:7">
      <c r="A82" s="224" t="s">
        <v>303</v>
      </c>
      <c r="B82" s="491"/>
      <c r="C82" s="250" t="s">
        <v>1448</v>
      </c>
      <c r="D82" s="250" t="s">
        <v>1449</v>
      </c>
      <c r="E82" s="231" t="s">
        <v>1450</v>
      </c>
      <c r="F82" s="194">
        <v>20</v>
      </c>
      <c r="G82" s="274" t="s">
        <v>1445</v>
      </c>
    </row>
    <row r="83" spans="1:7">
      <c r="A83" s="224" t="s">
        <v>304</v>
      </c>
      <c r="B83" s="491"/>
      <c r="C83" s="250" t="s">
        <v>1451</v>
      </c>
      <c r="D83" s="250" t="s">
        <v>1449</v>
      </c>
      <c r="E83" s="231" t="s">
        <v>1452</v>
      </c>
      <c r="F83" s="194">
        <v>4</v>
      </c>
      <c r="G83" s="274" t="s">
        <v>1445</v>
      </c>
    </row>
    <row r="84" spans="1:7">
      <c r="A84" s="224" t="s">
        <v>305</v>
      </c>
      <c r="B84" s="249" t="s">
        <v>1453</v>
      </c>
      <c r="C84" s="250" t="s">
        <v>1454</v>
      </c>
      <c r="D84" s="232" t="s">
        <v>1362</v>
      </c>
      <c r="E84" s="275">
        <v>0.1</v>
      </c>
      <c r="F84" s="194">
        <f>0.1*(F73+F74)</f>
        <v>22</v>
      </c>
      <c r="G84" s="245" t="s">
        <v>1359</v>
      </c>
    </row>
    <row r="85" spans="1:7">
      <c r="A85" s="224" t="s">
        <v>306</v>
      </c>
      <c r="B85" s="249" t="s">
        <v>1455</v>
      </c>
      <c r="C85" s="250" t="s">
        <v>1456</v>
      </c>
      <c r="D85" s="232" t="s">
        <v>1362</v>
      </c>
      <c r="E85" s="275"/>
      <c r="F85" s="276">
        <f>F84+F79</f>
        <v>35.96</v>
      </c>
      <c r="G85" s="245" t="s">
        <v>1359</v>
      </c>
    </row>
    <row r="86" spans="1:7">
      <c r="A86" s="224" t="s">
        <v>307</v>
      </c>
      <c r="B86" s="249" t="s">
        <v>1457</v>
      </c>
      <c r="C86" s="250" t="s">
        <v>1458</v>
      </c>
      <c r="D86" s="232" t="s">
        <v>1362</v>
      </c>
      <c r="E86" s="275"/>
      <c r="F86" s="276">
        <f>(F82+F83)*F85/F82</f>
        <v>43.152000000000001</v>
      </c>
      <c r="G86" s="245" t="s">
        <v>1359</v>
      </c>
    </row>
    <row r="87" spans="1:7">
      <c r="A87" s="224" t="s">
        <v>308</v>
      </c>
      <c r="B87" s="277" t="s">
        <v>1459</v>
      </c>
      <c r="C87" s="278" t="s">
        <v>1460</v>
      </c>
      <c r="D87" s="278" t="s">
        <v>1362</v>
      </c>
      <c r="E87" s="492" t="s">
        <v>1461</v>
      </c>
      <c r="F87" s="492"/>
    </row>
    <row r="88" spans="1:7">
      <c r="A88" s="205" t="s">
        <v>1462</v>
      </c>
    </row>
    <row r="89" spans="1:7">
      <c r="A89" s="224" t="s">
        <v>321</v>
      </c>
      <c r="B89" s="231" t="s">
        <v>1426</v>
      </c>
      <c r="C89" s="232" t="s">
        <v>1427</v>
      </c>
      <c r="D89" s="232" t="s">
        <v>1362</v>
      </c>
      <c r="E89" s="231" t="s">
        <v>1386</v>
      </c>
      <c r="F89" s="233">
        <v>220</v>
      </c>
      <c r="G89" s="234" t="s">
        <v>1364</v>
      </c>
    </row>
    <row r="90" spans="1:7">
      <c r="A90" s="224" t="s">
        <v>295</v>
      </c>
      <c r="B90" s="231" t="s">
        <v>1463</v>
      </c>
      <c r="C90" s="232" t="s">
        <v>1451</v>
      </c>
      <c r="D90" s="232" t="s">
        <v>1464</v>
      </c>
      <c r="E90" s="231" t="s">
        <v>1465</v>
      </c>
      <c r="F90" s="233">
        <v>15</v>
      </c>
      <c r="G90" s="243" t="s">
        <v>1354</v>
      </c>
    </row>
    <row r="91" spans="1:7">
      <c r="A91" s="224" t="s">
        <v>296</v>
      </c>
      <c r="B91" s="231" t="s">
        <v>1466</v>
      </c>
      <c r="C91" s="232" t="s">
        <v>1467</v>
      </c>
      <c r="D91" s="232" t="s">
        <v>1468</v>
      </c>
      <c r="E91" s="231"/>
      <c r="F91" s="279">
        <f>F89*F90/60</f>
        <v>55</v>
      </c>
      <c r="G91" s="245" t="s">
        <v>1359</v>
      </c>
    </row>
    <row r="92" spans="1:7">
      <c r="A92" s="224" t="s">
        <v>297</v>
      </c>
      <c r="B92" s="493" t="s">
        <v>1469</v>
      </c>
      <c r="C92" s="232" t="s">
        <v>1470</v>
      </c>
      <c r="D92" s="232" t="s">
        <v>1352</v>
      </c>
      <c r="E92" s="232" t="s">
        <v>1471</v>
      </c>
      <c r="F92" s="280">
        <v>4</v>
      </c>
      <c r="G92" s="243" t="s">
        <v>1400</v>
      </c>
    </row>
    <row r="93" spans="1:7">
      <c r="A93" s="224" t="s">
        <v>298</v>
      </c>
      <c r="B93" s="494"/>
      <c r="C93" s="232" t="s">
        <v>1472</v>
      </c>
      <c r="D93" s="232" t="s">
        <v>1352</v>
      </c>
      <c r="E93" s="232" t="s">
        <v>1473</v>
      </c>
      <c r="F93" s="281">
        <f>2*SQRT(F91/F92/3.14)</f>
        <v>4.1852029301909583</v>
      </c>
      <c r="G93" s="245" t="s">
        <v>1359</v>
      </c>
    </row>
    <row r="94" spans="1:7">
      <c r="A94" s="205" t="s">
        <v>1474</v>
      </c>
    </row>
    <row r="95" spans="1:7">
      <c r="A95" s="224" t="s">
        <v>321</v>
      </c>
      <c r="B95" s="231" t="s">
        <v>1475</v>
      </c>
      <c r="C95" s="232" t="s">
        <v>1427</v>
      </c>
      <c r="D95" s="232" t="s">
        <v>1362</v>
      </c>
      <c r="E95" s="231" t="s">
        <v>1386</v>
      </c>
      <c r="F95" s="233">
        <v>120</v>
      </c>
    </row>
    <row r="96" spans="1:7">
      <c r="A96" s="224" t="s">
        <v>295</v>
      </c>
      <c r="B96" s="231" t="s">
        <v>1476</v>
      </c>
      <c r="C96" s="260" t="s">
        <v>1388</v>
      </c>
      <c r="D96" s="250" t="s">
        <v>1385</v>
      </c>
      <c r="E96" s="231" t="s">
        <v>1477</v>
      </c>
      <c r="F96" s="282">
        <v>0.59</v>
      </c>
    </row>
    <row r="97" spans="1:7">
      <c r="A97" s="224" t="s">
        <v>296</v>
      </c>
      <c r="B97" s="231" t="s">
        <v>1478</v>
      </c>
      <c r="C97" s="260" t="s">
        <v>1479</v>
      </c>
      <c r="D97" s="250" t="s">
        <v>1480</v>
      </c>
      <c r="E97" s="231" t="s">
        <v>1481</v>
      </c>
      <c r="F97" s="283">
        <v>10132.5</v>
      </c>
    </row>
    <row r="98" spans="1:7">
      <c r="A98" s="224" t="s">
        <v>297</v>
      </c>
      <c r="B98" s="231" t="s">
        <v>1482</v>
      </c>
      <c r="C98" s="250" t="s">
        <v>1375</v>
      </c>
      <c r="D98" s="250" t="s">
        <v>1483</v>
      </c>
      <c r="E98" s="231" t="s">
        <v>1484</v>
      </c>
      <c r="F98" s="272" t="e">
        <f ca="1">1/VL_P($F$97/1000000)</f>
        <v>#NAME?</v>
      </c>
      <c r="G98" s="284"/>
    </row>
    <row r="99" spans="1:7">
      <c r="A99" s="224" t="s">
        <v>298</v>
      </c>
      <c r="B99" s="231" t="s">
        <v>1485</v>
      </c>
      <c r="C99" s="232" t="s">
        <v>1486</v>
      </c>
      <c r="D99" s="232" t="s">
        <v>1487</v>
      </c>
      <c r="E99" s="231" t="s">
        <v>1488</v>
      </c>
      <c r="F99" s="272" t="e">
        <f ca="1">F95*1000/F98</f>
        <v>#NAME?</v>
      </c>
    </row>
    <row r="100" spans="1:7">
      <c r="A100" s="224" t="s">
        <v>299</v>
      </c>
      <c r="B100" s="231" t="s">
        <v>1489</v>
      </c>
      <c r="C100" s="232" t="s">
        <v>1490</v>
      </c>
      <c r="D100" s="232" t="s">
        <v>1491</v>
      </c>
      <c r="E100" s="231" t="s">
        <v>1492</v>
      </c>
      <c r="F100" s="272">
        <v>2.5</v>
      </c>
    </row>
    <row r="101" spans="1:7">
      <c r="A101" s="224" t="s">
        <v>300</v>
      </c>
      <c r="B101" s="231" t="s">
        <v>1493</v>
      </c>
      <c r="C101" s="232" t="s">
        <v>1494</v>
      </c>
      <c r="D101" s="232" t="s">
        <v>1491</v>
      </c>
      <c r="E101" s="231" t="s">
        <v>1495</v>
      </c>
      <c r="F101" s="272">
        <v>1</v>
      </c>
    </row>
    <row r="102" spans="1:7">
      <c r="A102" s="224" t="s">
        <v>301</v>
      </c>
      <c r="B102" s="231" t="s">
        <v>1496</v>
      </c>
      <c r="C102" s="232" t="s">
        <v>1497</v>
      </c>
      <c r="D102" s="232" t="s">
        <v>1498</v>
      </c>
      <c r="E102" s="231" t="s">
        <v>1499</v>
      </c>
      <c r="F102" s="272">
        <v>1.5</v>
      </c>
    </row>
    <row r="103" spans="1:7">
      <c r="A103" s="224" t="s">
        <v>302</v>
      </c>
      <c r="B103" s="231" t="s">
        <v>1500</v>
      </c>
      <c r="C103" s="232"/>
      <c r="D103" s="232" t="s">
        <v>1491</v>
      </c>
      <c r="E103" s="231" t="s">
        <v>1501</v>
      </c>
      <c r="F103" s="272">
        <v>0.5</v>
      </c>
    </row>
    <row r="104" spans="1:7">
      <c r="A104" s="224" t="s">
        <v>303</v>
      </c>
      <c r="B104" s="231" t="s">
        <v>1502</v>
      </c>
      <c r="C104" s="232" t="s">
        <v>1347</v>
      </c>
      <c r="D104" s="232" t="s">
        <v>1491</v>
      </c>
      <c r="E104" s="285" t="s">
        <v>1503</v>
      </c>
      <c r="F104" s="273">
        <f>10.09-F100+F101+F102*F102/2/9.8+F103</f>
        <v>9.2047959183673473</v>
      </c>
    </row>
    <row r="105" spans="1:7">
      <c r="A105" s="205" t="s">
        <v>1504</v>
      </c>
    </row>
    <row r="106" spans="1:7">
      <c r="A106" s="224" t="s">
        <v>321</v>
      </c>
      <c r="B106" s="231" t="s">
        <v>1505</v>
      </c>
      <c r="C106" s="232" t="s">
        <v>1506</v>
      </c>
      <c r="D106" s="286" t="s">
        <v>1507</v>
      </c>
      <c r="E106" s="231" t="s">
        <v>1508</v>
      </c>
      <c r="F106" s="282">
        <v>435</v>
      </c>
    </row>
    <row r="107" spans="1:7">
      <c r="A107" s="224" t="s">
        <v>295</v>
      </c>
      <c r="B107" s="287" t="s">
        <v>1509</v>
      </c>
      <c r="C107" s="232" t="s">
        <v>1510</v>
      </c>
      <c r="D107" s="286" t="s">
        <v>1511</v>
      </c>
      <c r="E107" s="231" t="s">
        <v>1508</v>
      </c>
      <c r="F107" s="282">
        <v>3.43</v>
      </c>
    </row>
    <row r="108" spans="1:7">
      <c r="A108" s="224" t="s">
        <v>296</v>
      </c>
      <c r="B108" s="287" t="s">
        <v>1512</v>
      </c>
      <c r="C108" s="232" t="s">
        <v>1513</v>
      </c>
      <c r="D108" s="286" t="s">
        <v>1296</v>
      </c>
      <c r="E108" s="231" t="s">
        <v>1514</v>
      </c>
      <c r="F108" s="239" t="e">
        <f ca="1">H_PT($F$107,$F$106)</f>
        <v>#NAME?</v>
      </c>
    </row>
    <row r="109" spans="1:7">
      <c r="A109" s="224" t="s">
        <v>297</v>
      </c>
      <c r="B109" s="287" t="s">
        <v>1515</v>
      </c>
      <c r="C109" s="232" t="s">
        <v>1516</v>
      </c>
      <c r="D109" s="286" t="s">
        <v>1487</v>
      </c>
      <c r="E109" s="231" t="s">
        <v>1508</v>
      </c>
      <c r="F109" s="282">
        <v>70</v>
      </c>
    </row>
    <row r="110" spans="1:7">
      <c r="A110" s="224" t="s">
        <v>298</v>
      </c>
      <c r="B110" s="231" t="s">
        <v>1517</v>
      </c>
      <c r="C110" s="232" t="s">
        <v>1518</v>
      </c>
      <c r="D110" s="286" t="s">
        <v>1507</v>
      </c>
      <c r="E110" s="231" t="s">
        <v>1508</v>
      </c>
      <c r="F110" s="282">
        <v>20</v>
      </c>
    </row>
    <row r="111" spans="1:7">
      <c r="A111" s="224" t="s">
        <v>299</v>
      </c>
      <c r="B111" s="287" t="s">
        <v>1509</v>
      </c>
      <c r="C111" s="232" t="s">
        <v>1519</v>
      </c>
      <c r="D111" s="286" t="s">
        <v>1511</v>
      </c>
      <c r="E111" s="231" t="s">
        <v>1520</v>
      </c>
      <c r="F111" s="239">
        <f>F115+1.47</f>
        <v>3.9699999999999998</v>
      </c>
    </row>
    <row r="112" spans="1:7">
      <c r="A112" s="224" t="s">
        <v>300</v>
      </c>
      <c r="B112" s="287" t="s">
        <v>1512</v>
      </c>
      <c r="C112" s="232" t="s">
        <v>1521</v>
      </c>
      <c r="D112" s="286" t="s">
        <v>1296</v>
      </c>
      <c r="E112" s="231" t="s">
        <v>1514</v>
      </c>
      <c r="F112" s="239" t="e">
        <f ca="1">H_PT($F$111,$F$110)</f>
        <v>#NAME?</v>
      </c>
    </row>
    <row r="113" spans="1:8">
      <c r="A113" s="224" t="s">
        <v>301</v>
      </c>
      <c r="B113" s="287" t="s">
        <v>1515</v>
      </c>
      <c r="C113" s="232" t="s">
        <v>1522</v>
      </c>
      <c r="D113" s="286" t="s">
        <v>1487</v>
      </c>
      <c r="E113" s="231" t="s">
        <v>1523</v>
      </c>
      <c r="F113" s="288" t="e">
        <f ca="1">(F108-F116)*F109/(F116-F112+F118*(F117-F116))</f>
        <v>#NAME?</v>
      </c>
    </row>
    <row r="114" spans="1:8">
      <c r="A114" s="224" t="s">
        <v>298</v>
      </c>
      <c r="B114" s="231" t="s">
        <v>1524</v>
      </c>
      <c r="C114" s="232" t="s">
        <v>1525</v>
      </c>
      <c r="D114" s="286" t="s">
        <v>1507</v>
      </c>
      <c r="E114" s="231" t="s">
        <v>1508</v>
      </c>
      <c r="F114" s="282">
        <v>350</v>
      </c>
    </row>
    <row r="115" spans="1:8">
      <c r="A115" s="224" t="s">
        <v>299</v>
      </c>
      <c r="B115" s="287" t="s">
        <v>1509</v>
      </c>
      <c r="C115" s="232" t="s">
        <v>1526</v>
      </c>
      <c r="D115" s="286" t="s">
        <v>1511</v>
      </c>
      <c r="E115" s="231" t="s">
        <v>1508</v>
      </c>
      <c r="F115" s="282">
        <v>2.5</v>
      </c>
    </row>
    <row r="116" spans="1:8">
      <c r="A116" s="224" t="s">
        <v>300</v>
      </c>
      <c r="B116" s="287" t="s">
        <v>1512</v>
      </c>
      <c r="C116" s="232" t="s">
        <v>1527</v>
      </c>
      <c r="D116" s="286" t="s">
        <v>1296</v>
      </c>
      <c r="E116" s="231" t="s">
        <v>1514</v>
      </c>
      <c r="F116" s="239" t="e">
        <f ca="1">H_PT($F$115,$F$114)</f>
        <v>#NAME?</v>
      </c>
    </row>
    <row r="117" spans="1:8">
      <c r="A117" s="224" t="s">
        <v>301</v>
      </c>
      <c r="B117" s="287" t="s">
        <v>1512</v>
      </c>
      <c r="C117" s="232" t="s">
        <v>1528</v>
      </c>
      <c r="D117" s="286" t="s">
        <v>1296</v>
      </c>
      <c r="E117" s="231" t="s">
        <v>1529</v>
      </c>
      <c r="F117" s="239" t="e">
        <f ca="1">HL_P($F$115)</f>
        <v>#NAME?</v>
      </c>
    </row>
    <row r="118" spans="1:8">
      <c r="A118" s="224" t="s">
        <v>302</v>
      </c>
      <c r="B118" s="287" t="s">
        <v>1530</v>
      </c>
      <c r="C118" s="232" t="s">
        <v>1531</v>
      </c>
      <c r="D118" s="286"/>
      <c r="E118" s="231" t="s">
        <v>1532</v>
      </c>
      <c r="F118" s="282">
        <v>0.35</v>
      </c>
    </row>
    <row r="119" spans="1:8">
      <c r="A119" s="224" t="s">
        <v>303</v>
      </c>
      <c r="B119" s="287" t="s">
        <v>1515</v>
      </c>
      <c r="C119" s="232" t="s">
        <v>1533</v>
      </c>
      <c r="D119" s="286" t="s">
        <v>1362</v>
      </c>
      <c r="E119" s="231" t="s">
        <v>1534</v>
      </c>
      <c r="F119" s="288" t="e">
        <f ca="1">F109+F113*(1-F118)</f>
        <v>#NAME?</v>
      </c>
    </row>
    <row r="120" spans="1:8">
      <c r="A120" s="205" t="s">
        <v>1535</v>
      </c>
    </row>
    <row r="121" spans="1:8">
      <c r="A121" s="224" t="s">
        <v>321</v>
      </c>
      <c r="B121" s="231" t="s">
        <v>1536</v>
      </c>
      <c r="C121" s="231" t="s">
        <v>1388</v>
      </c>
      <c r="D121" s="231" t="s">
        <v>1537</v>
      </c>
      <c r="E121" s="231" t="s">
        <v>1538</v>
      </c>
      <c r="F121" s="282">
        <v>2.2000000000000002</v>
      </c>
      <c r="H121" s="289" t="s">
        <v>1539</v>
      </c>
    </row>
    <row r="122" spans="1:8">
      <c r="A122" s="224" t="s">
        <v>295</v>
      </c>
      <c r="B122" s="231" t="s">
        <v>1540</v>
      </c>
      <c r="C122" s="231" t="s">
        <v>1541</v>
      </c>
      <c r="D122" s="231" t="s">
        <v>1537</v>
      </c>
      <c r="E122" s="231" t="s">
        <v>1538</v>
      </c>
      <c r="F122" s="282">
        <v>1.45</v>
      </c>
      <c r="H122" s="289" t="s">
        <v>1542</v>
      </c>
    </row>
    <row r="123" spans="1:8">
      <c r="A123" s="224" t="s">
        <v>296</v>
      </c>
      <c r="B123" s="231" t="s">
        <v>1543</v>
      </c>
      <c r="C123" s="231" t="s">
        <v>1544</v>
      </c>
      <c r="D123" s="231" t="s">
        <v>1545</v>
      </c>
      <c r="E123" s="231" t="s">
        <v>1484</v>
      </c>
      <c r="F123" s="239" t="e">
        <f ca="1">HL_P($F$121)</f>
        <v>#NAME?</v>
      </c>
      <c r="H123" s="289" t="s">
        <v>1546</v>
      </c>
    </row>
    <row r="124" spans="1:8">
      <c r="A124" s="224" t="s">
        <v>297</v>
      </c>
      <c r="B124" s="231" t="s">
        <v>1547</v>
      </c>
      <c r="C124" s="231" t="s">
        <v>1548</v>
      </c>
      <c r="D124" s="231" t="s">
        <v>1545</v>
      </c>
      <c r="E124" s="231" t="s">
        <v>1484</v>
      </c>
      <c r="F124" s="239" t="e">
        <f ca="1">HL_P(F122)</f>
        <v>#NAME?</v>
      </c>
    </row>
    <row r="125" spans="1:8">
      <c r="A125" s="224" t="s">
        <v>298</v>
      </c>
      <c r="B125" s="231" t="s">
        <v>1549</v>
      </c>
      <c r="C125" s="231" t="s">
        <v>1550</v>
      </c>
      <c r="D125" s="231" t="s">
        <v>1545</v>
      </c>
      <c r="E125" s="231" t="s">
        <v>1484</v>
      </c>
      <c r="F125" s="239" t="e">
        <f ca="1">HG_P($F$121)</f>
        <v>#NAME?</v>
      </c>
    </row>
    <row r="126" spans="1:8">
      <c r="A126" s="224" t="s">
        <v>299</v>
      </c>
      <c r="B126" s="231" t="s">
        <v>1551</v>
      </c>
      <c r="C126" s="231" t="s">
        <v>1552</v>
      </c>
      <c r="D126" s="231" t="s">
        <v>1545</v>
      </c>
      <c r="E126" s="231" t="s">
        <v>1484</v>
      </c>
      <c r="F126" s="239" t="e">
        <f ca="1">HG_P($F$122)</f>
        <v>#NAME?</v>
      </c>
    </row>
    <row r="127" spans="1:8">
      <c r="A127" s="224" t="s">
        <v>300</v>
      </c>
      <c r="B127" s="290" t="s">
        <v>1553</v>
      </c>
      <c r="C127" s="231" t="s">
        <v>1357</v>
      </c>
      <c r="D127" s="231" t="s">
        <v>1554</v>
      </c>
      <c r="E127" s="231" t="s">
        <v>1555</v>
      </c>
      <c r="F127" s="288" t="e">
        <f ca="1">(F123-F124)/((F125+F126)/2-F124)</f>
        <v>#NAME?</v>
      </c>
    </row>
    <row r="128" spans="1:8">
      <c r="A128" s="224" t="s">
        <v>301</v>
      </c>
      <c r="B128" s="231" t="s">
        <v>1556</v>
      </c>
      <c r="C128" s="231" t="s">
        <v>1557</v>
      </c>
      <c r="D128" s="231" t="s">
        <v>1558</v>
      </c>
      <c r="E128" s="231" t="s">
        <v>1484</v>
      </c>
      <c r="F128" s="287" t="e">
        <f ca="1">VL_P($F$121)</f>
        <v>#NAME?</v>
      </c>
    </row>
    <row r="129" spans="1:6">
      <c r="A129" s="224" t="s">
        <v>302</v>
      </c>
      <c r="B129" s="290" t="s">
        <v>1559</v>
      </c>
      <c r="C129" s="231" t="s">
        <v>1560</v>
      </c>
      <c r="D129" s="231" t="s">
        <v>1483</v>
      </c>
      <c r="E129" s="231" t="s">
        <v>1561</v>
      </c>
      <c r="F129" s="288" t="e">
        <f ca="1">F127/F128</f>
        <v>#NAME?</v>
      </c>
    </row>
    <row r="130" spans="1:6">
      <c r="A130" s="224" t="s">
        <v>303</v>
      </c>
      <c r="B130" s="231" t="s">
        <v>1562</v>
      </c>
      <c r="C130" s="231" t="s">
        <v>1410</v>
      </c>
      <c r="D130" s="231"/>
      <c r="E130" s="231" t="s">
        <v>1563</v>
      </c>
      <c r="F130" s="287">
        <v>0.95</v>
      </c>
    </row>
    <row r="131" spans="1:6">
      <c r="A131" s="224" t="s">
        <v>304</v>
      </c>
      <c r="B131" s="231" t="s">
        <v>1564</v>
      </c>
      <c r="C131" s="231" t="s">
        <v>1413</v>
      </c>
      <c r="D131" s="231"/>
      <c r="E131" s="231" t="s">
        <v>1565</v>
      </c>
      <c r="F131" s="287">
        <v>0.85</v>
      </c>
    </row>
    <row r="132" spans="1:6">
      <c r="A132" s="224" t="s">
        <v>305</v>
      </c>
      <c r="B132" s="291" t="s">
        <v>1566</v>
      </c>
      <c r="C132" s="231" t="s">
        <v>1567</v>
      </c>
      <c r="D132" s="231" t="s">
        <v>1451</v>
      </c>
      <c r="E132" s="231" t="s">
        <v>1568</v>
      </c>
      <c r="F132" s="282">
        <v>30.8</v>
      </c>
    </row>
    <row r="133" spans="1:6">
      <c r="A133" s="224" t="s">
        <v>306</v>
      </c>
      <c r="B133" s="291" t="s">
        <v>1569</v>
      </c>
      <c r="C133" s="231" t="s">
        <v>1467</v>
      </c>
      <c r="D133" s="231" t="s">
        <v>1570</v>
      </c>
      <c r="E133" s="231" t="s">
        <v>1571</v>
      </c>
      <c r="F133" s="288" t="e">
        <f ca="1">F132*1000/(F129*F130*F131)</f>
        <v>#NAME?</v>
      </c>
    </row>
    <row r="134" spans="1:6">
      <c r="A134" s="224" t="s">
        <v>307</v>
      </c>
      <c r="B134" s="231" t="s">
        <v>1572</v>
      </c>
      <c r="C134" s="287" t="s">
        <v>1573</v>
      </c>
      <c r="D134" s="231" t="s">
        <v>1570</v>
      </c>
      <c r="E134" s="287" t="s">
        <v>1574</v>
      </c>
      <c r="F134" s="292" t="e">
        <f ca="1">(1-F131)*F133</f>
        <v>#NAME?</v>
      </c>
    </row>
    <row r="135" spans="1:6">
      <c r="A135" s="224" t="s">
        <v>308</v>
      </c>
      <c r="B135" s="231" t="s">
        <v>1575</v>
      </c>
      <c r="C135" s="287" t="s">
        <v>1576</v>
      </c>
      <c r="D135" s="287" t="s">
        <v>1362</v>
      </c>
      <c r="E135" s="231" t="s">
        <v>1538</v>
      </c>
      <c r="F135" s="287"/>
    </row>
    <row r="136" spans="1:6">
      <c r="A136" s="224" t="s">
        <v>309</v>
      </c>
      <c r="B136" s="231" t="s">
        <v>1577</v>
      </c>
      <c r="C136" s="287" t="s">
        <v>1578</v>
      </c>
      <c r="D136" s="287" t="s">
        <v>1362</v>
      </c>
      <c r="E136" s="231" t="s">
        <v>1538</v>
      </c>
      <c r="F136" s="287"/>
    </row>
    <row r="137" spans="1:6">
      <c r="A137" s="224" t="s">
        <v>311</v>
      </c>
      <c r="B137" s="231" t="s">
        <v>1579</v>
      </c>
      <c r="C137" s="287" t="s">
        <v>1472</v>
      </c>
      <c r="D137" s="287" t="s">
        <v>1362</v>
      </c>
      <c r="E137" s="231" t="s">
        <v>1580</v>
      </c>
      <c r="F137" s="287">
        <f>F135-F136</f>
        <v>0</v>
      </c>
    </row>
    <row r="138" spans="1:6">
      <c r="A138" s="224" t="s">
        <v>322</v>
      </c>
      <c r="B138" s="231" t="s">
        <v>1581</v>
      </c>
      <c r="C138" s="287" t="s">
        <v>1582</v>
      </c>
      <c r="D138" s="287" t="s">
        <v>1583</v>
      </c>
      <c r="E138" s="231" t="s">
        <v>1584</v>
      </c>
      <c r="F138" s="287" t="e">
        <f ca="1">F137/F134</f>
        <v>#NAME?</v>
      </c>
    </row>
    <row r="139" spans="1:6">
      <c r="A139" s="224" t="s">
        <v>323</v>
      </c>
      <c r="B139" s="231" t="s">
        <v>1585</v>
      </c>
      <c r="C139" s="231" t="s">
        <v>1586</v>
      </c>
      <c r="D139" s="231"/>
      <c r="E139" s="231" t="s">
        <v>1484</v>
      </c>
      <c r="F139" s="231"/>
    </row>
    <row r="140" spans="1:6">
      <c r="A140" s="224" t="s">
        <v>324</v>
      </c>
      <c r="B140" s="290" t="s">
        <v>1587</v>
      </c>
      <c r="C140" s="231" t="s">
        <v>1588</v>
      </c>
      <c r="D140" s="231" t="s">
        <v>1570</v>
      </c>
      <c r="E140" s="231" t="s">
        <v>1589</v>
      </c>
      <c r="F140" s="288" t="e">
        <f ca="1">F132*1000/F129</f>
        <v>#NAME?</v>
      </c>
    </row>
    <row r="141" spans="1:6">
      <c r="A141" s="224" t="s">
        <v>312</v>
      </c>
      <c r="B141" s="231" t="s">
        <v>1590</v>
      </c>
      <c r="C141" s="231" t="s">
        <v>1591</v>
      </c>
      <c r="D141" s="231" t="s">
        <v>1558</v>
      </c>
      <c r="E141" s="231" t="s">
        <v>1484</v>
      </c>
      <c r="F141" s="231" t="e">
        <f ca="1">VL_P(F122)</f>
        <v>#NAME?</v>
      </c>
    </row>
    <row r="142" spans="1:6">
      <c r="A142" s="224" t="s">
        <v>313</v>
      </c>
      <c r="B142" s="290" t="s">
        <v>1592</v>
      </c>
      <c r="C142" s="231" t="s">
        <v>1593</v>
      </c>
      <c r="D142" s="231" t="s">
        <v>1570</v>
      </c>
      <c r="E142" s="231" t="s">
        <v>1594</v>
      </c>
      <c r="F142" s="288" t="e">
        <f ca="1">(F140/F128-F132*1000)*F141</f>
        <v>#NAME?</v>
      </c>
    </row>
    <row r="143" spans="1:6">
      <c r="A143" s="224" t="s">
        <v>314</v>
      </c>
      <c r="B143" s="231"/>
      <c r="C143" s="231"/>
      <c r="D143" s="231"/>
      <c r="E143" s="231"/>
      <c r="F143" s="231"/>
    </row>
  </sheetData>
  <mergeCells count="6">
    <mergeCell ref="B92:B93"/>
    <mergeCell ref="C26:F26"/>
    <mergeCell ref="C43:F43"/>
    <mergeCell ref="C71:F71"/>
    <mergeCell ref="B80:B83"/>
    <mergeCell ref="E87:F8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>
    <tabColor indexed="10"/>
  </sheetPr>
  <dimension ref="A1:CG133"/>
  <sheetViews>
    <sheetView topLeftCell="A43" workbookViewId="0">
      <selection activeCell="G5" sqref="G5:AR6"/>
    </sheetView>
  </sheetViews>
  <sheetFormatPr defaultColWidth="1.625" defaultRowHeight="14.25"/>
  <cols>
    <col min="3" max="3" width="0.5" customWidth="1"/>
    <col min="4" max="4" width="1.625" hidden="1" customWidth="1"/>
    <col min="5" max="5" width="3.625" customWidth="1"/>
    <col min="6" max="6" width="21.25" customWidth="1"/>
    <col min="33" max="33" width="7.5" bestFit="1" customWidth="1"/>
    <col min="45" max="45" width="7.5" bestFit="1" customWidth="1"/>
  </cols>
  <sheetData>
    <row r="1" spans="3:50">
      <c r="AA1" s="3" t="s">
        <v>457</v>
      </c>
      <c r="AE1" s="512" t="s">
        <v>458</v>
      </c>
      <c r="AF1" s="512"/>
      <c r="AG1" s="512"/>
      <c r="AH1" s="512"/>
      <c r="AI1" s="512"/>
      <c r="AJ1" s="512"/>
      <c r="AK1" s="512"/>
      <c r="AL1" s="512"/>
      <c r="AM1" s="512"/>
      <c r="AN1" s="512"/>
      <c r="AO1" s="512"/>
    </row>
    <row r="2" spans="3:50">
      <c r="C2" s="528" t="s">
        <v>459</v>
      </c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AA2" s="11"/>
      <c r="AB2" s="11"/>
      <c r="AC2" s="11"/>
      <c r="AE2" s="513" t="s">
        <v>460</v>
      </c>
      <c r="AF2" s="513"/>
      <c r="AG2" s="513"/>
      <c r="AH2" s="513"/>
      <c r="AI2" s="513"/>
      <c r="AJ2" s="513"/>
      <c r="AK2" s="513"/>
      <c r="AL2" s="513"/>
      <c r="AM2" s="513"/>
      <c r="AN2" s="513"/>
      <c r="AO2" s="513"/>
    </row>
    <row r="3" spans="3:50">
      <c r="AA3" s="12"/>
      <c r="AB3" s="12"/>
      <c r="AC3" s="12"/>
      <c r="AE3" s="514" t="s">
        <v>461</v>
      </c>
      <c r="AF3" s="514"/>
      <c r="AG3" s="514"/>
      <c r="AH3" s="514"/>
      <c r="AI3" s="514"/>
      <c r="AJ3" s="514"/>
      <c r="AK3" s="514"/>
      <c r="AL3" s="514"/>
      <c r="AM3" s="514"/>
      <c r="AN3" s="514"/>
      <c r="AO3" s="514"/>
    </row>
    <row r="4" spans="3:50">
      <c r="E4" s="528" t="s">
        <v>462</v>
      </c>
      <c r="F4" s="528"/>
      <c r="G4" s="528"/>
      <c r="H4" s="528"/>
      <c r="I4" s="528"/>
      <c r="J4" s="528"/>
      <c r="K4" s="528"/>
      <c r="L4" s="528"/>
      <c r="M4" s="528"/>
      <c r="N4" s="528"/>
      <c r="O4" s="528"/>
      <c r="AM4" t="s">
        <v>463</v>
      </c>
    </row>
    <row r="5" spans="3:50">
      <c r="G5" s="436" t="s">
        <v>464</v>
      </c>
      <c r="H5" s="436"/>
      <c r="I5" s="436"/>
      <c r="J5" s="436" t="s">
        <v>465</v>
      </c>
      <c r="K5" s="436"/>
      <c r="L5" s="436" t="s">
        <v>466</v>
      </c>
      <c r="M5" s="436"/>
      <c r="N5" s="436" t="s">
        <v>448</v>
      </c>
      <c r="O5" s="436"/>
      <c r="P5" s="436"/>
      <c r="Q5" s="436" t="s">
        <v>467</v>
      </c>
      <c r="R5" s="436"/>
      <c r="S5" s="436"/>
      <c r="T5" s="436" t="s">
        <v>468</v>
      </c>
      <c r="U5" s="436"/>
      <c r="V5" s="436"/>
      <c r="W5" s="436" t="s">
        <v>449</v>
      </c>
      <c r="X5" s="436"/>
      <c r="Y5" s="436"/>
      <c r="Z5" s="436"/>
      <c r="AA5" s="436" t="s">
        <v>450</v>
      </c>
      <c r="AB5" s="436"/>
      <c r="AC5" s="436"/>
      <c r="AD5" s="436" t="s">
        <v>451</v>
      </c>
      <c r="AE5" s="436"/>
      <c r="AF5" s="436"/>
      <c r="AG5" s="436" t="s">
        <v>452</v>
      </c>
      <c r="AH5" s="436"/>
      <c r="AI5" s="436"/>
      <c r="AJ5" s="436" t="s">
        <v>453</v>
      </c>
      <c r="AK5" s="436"/>
      <c r="AL5" s="436"/>
      <c r="AM5" s="436" t="s">
        <v>469</v>
      </c>
      <c r="AN5" s="436"/>
      <c r="AO5" s="436"/>
      <c r="AP5" s="436" t="s">
        <v>470</v>
      </c>
      <c r="AQ5" s="436"/>
      <c r="AR5" s="436"/>
    </row>
    <row r="6" spans="3:50">
      <c r="G6" s="436" t="s">
        <v>471</v>
      </c>
      <c r="H6" s="436"/>
      <c r="I6" s="436"/>
      <c r="J6" s="495">
        <v>56.41</v>
      </c>
      <c r="K6" s="495"/>
      <c r="L6" s="495">
        <v>8.2200000000000006</v>
      </c>
      <c r="M6" s="495"/>
      <c r="N6" s="495">
        <v>26.03</v>
      </c>
      <c r="O6" s="495"/>
      <c r="P6" s="495"/>
      <c r="Q6" s="495">
        <v>0</v>
      </c>
      <c r="R6" s="495"/>
      <c r="S6" s="495"/>
      <c r="T6" s="495"/>
      <c r="U6" s="495"/>
      <c r="V6" s="495"/>
      <c r="W6" s="495"/>
      <c r="X6" s="495"/>
      <c r="Y6" s="495"/>
      <c r="Z6" s="495"/>
      <c r="AA6" s="495">
        <v>3.43</v>
      </c>
      <c r="AB6" s="495"/>
      <c r="AC6" s="495"/>
      <c r="AD6" s="495">
        <v>0.56000000000000005</v>
      </c>
      <c r="AE6" s="495"/>
      <c r="AF6" s="495"/>
      <c r="AG6" s="495">
        <v>3.53</v>
      </c>
      <c r="AH6" s="495"/>
      <c r="AI6" s="495"/>
      <c r="AJ6" s="495">
        <v>0</v>
      </c>
      <c r="AK6" s="495"/>
      <c r="AL6" s="495"/>
      <c r="AM6" s="495">
        <v>1.82</v>
      </c>
      <c r="AN6" s="495"/>
      <c r="AO6" s="495"/>
      <c r="AP6" s="539">
        <f>SUM(J6:AO6)</f>
        <v>100</v>
      </c>
      <c r="AQ6" s="539"/>
      <c r="AR6" s="539"/>
    </row>
    <row r="7" spans="3:50">
      <c r="G7" s="436" t="s">
        <v>472</v>
      </c>
      <c r="H7" s="436"/>
      <c r="I7" s="436"/>
      <c r="J7" s="495">
        <v>10.786</v>
      </c>
      <c r="K7" s="495"/>
      <c r="L7" s="495">
        <v>12.635999999999999</v>
      </c>
      <c r="M7" s="495"/>
      <c r="N7" s="495">
        <v>35.905999999999999</v>
      </c>
      <c r="O7" s="495"/>
      <c r="P7" s="495"/>
      <c r="Q7" s="495">
        <v>59.476999999999997</v>
      </c>
      <c r="R7" s="495"/>
      <c r="S7" s="495"/>
      <c r="T7" s="495">
        <v>93.24</v>
      </c>
      <c r="U7" s="495"/>
      <c r="V7" s="495"/>
      <c r="W7" s="495">
        <v>123.649</v>
      </c>
      <c r="X7" s="495"/>
      <c r="Y7" s="495"/>
      <c r="Z7" s="495"/>
      <c r="AA7" s="495">
        <v>0</v>
      </c>
      <c r="AB7" s="495"/>
      <c r="AC7" s="495"/>
      <c r="AD7" s="495">
        <v>0</v>
      </c>
      <c r="AE7" s="495"/>
      <c r="AF7" s="495"/>
      <c r="AG7" s="495">
        <v>0</v>
      </c>
      <c r="AH7" s="495"/>
      <c r="AI7" s="495"/>
      <c r="AJ7" s="495">
        <v>23.382999999999999</v>
      </c>
      <c r="AK7" s="495"/>
      <c r="AL7" s="495"/>
      <c r="AM7" s="495">
        <v>87.667000000000002</v>
      </c>
      <c r="AN7" s="495"/>
      <c r="AO7" s="495"/>
      <c r="AP7" s="501" t="s">
        <v>473</v>
      </c>
      <c r="AQ7" s="502"/>
      <c r="AR7" s="502"/>
      <c r="AS7" s="502"/>
      <c r="AT7" s="502"/>
      <c r="AU7" s="502"/>
      <c r="AV7" s="502"/>
      <c r="AW7" s="502"/>
      <c r="AX7" s="502"/>
    </row>
    <row r="8" spans="3:50">
      <c r="G8" s="436" t="s">
        <v>474</v>
      </c>
      <c r="H8" s="436"/>
      <c r="I8" s="436"/>
      <c r="J8" s="495">
        <v>12.754</v>
      </c>
      <c r="K8" s="495"/>
      <c r="L8" s="495">
        <v>12.635999999999999</v>
      </c>
      <c r="M8" s="495"/>
      <c r="N8" s="495">
        <v>39.841999999999999</v>
      </c>
      <c r="O8" s="495"/>
      <c r="P8" s="495"/>
      <c r="Q8" s="495">
        <v>63.438000000000002</v>
      </c>
      <c r="R8" s="495"/>
      <c r="S8" s="495"/>
      <c r="T8" s="495">
        <v>101.26600000000001</v>
      </c>
      <c r="U8" s="495"/>
      <c r="V8" s="495"/>
      <c r="W8" s="495">
        <v>133.886</v>
      </c>
      <c r="X8" s="495"/>
      <c r="Y8" s="495"/>
      <c r="Z8" s="495"/>
      <c r="AA8" s="495">
        <v>0</v>
      </c>
      <c r="AB8" s="495"/>
      <c r="AC8" s="495"/>
      <c r="AD8" s="495">
        <v>0</v>
      </c>
      <c r="AE8" s="495"/>
      <c r="AF8" s="495"/>
      <c r="AG8" s="495">
        <v>0</v>
      </c>
      <c r="AH8" s="495"/>
      <c r="AI8" s="495"/>
      <c r="AJ8" s="495">
        <v>25.364000000000001</v>
      </c>
      <c r="AK8" s="495"/>
      <c r="AL8" s="495"/>
      <c r="AM8" s="495">
        <v>93.667000000000002</v>
      </c>
      <c r="AN8" s="495"/>
      <c r="AO8" s="495"/>
      <c r="AP8" s="501" t="s">
        <v>473</v>
      </c>
      <c r="AQ8" s="502"/>
      <c r="AR8" s="502"/>
      <c r="AS8" s="502"/>
      <c r="AT8" s="502"/>
      <c r="AU8" s="502"/>
      <c r="AV8" s="502"/>
      <c r="AW8" s="502"/>
      <c r="AX8" s="502"/>
    </row>
    <row r="9" spans="3:50">
      <c r="G9" s="540" t="s">
        <v>475</v>
      </c>
      <c r="H9" s="541"/>
      <c r="I9" s="542"/>
      <c r="J9" s="495" t="e">
        <f>#REF!</f>
        <v>#REF!</v>
      </c>
      <c r="K9" s="495"/>
      <c r="L9" s="495" t="e">
        <f>#REF!</f>
        <v>#REF!</v>
      </c>
      <c r="M9" s="495"/>
      <c r="N9" s="495" t="e">
        <f>#REF!</f>
        <v>#REF!</v>
      </c>
      <c r="O9" s="495"/>
      <c r="P9" s="495"/>
      <c r="Q9" s="495" t="e">
        <f>#REF!</f>
        <v>#REF!</v>
      </c>
      <c r="R9" s="495"/>
      <c r="S9" s="495"/>
      <c r="T9" s="495" t="e">
        <f>#REF!</f>
        <v>#REF!</v>
      </c>
      <c r="U9" s="495"/>
      <c r="V9" s="495"/>
      <c r="W9" s="495" t="e">
        <f>#REF!</f>
        <v>#REF!</v>
      </c>
      <c r="X9" s="495"/>
      <c r="Y9" s="495"/>
      <c r="Z9" s="495"/>
      <c r="AA9" s="495" t="e">
        <f>#REF!</f>
        <v>#REF!</v>
      </c>
      <c r="AB9" s="495"/>
      <c r="AC9" s="495"/>
      <c r="AD9" s="495" t="e">
        <f>#REF!</f>
        <v>#REF!</v>
      </c>
      <c r="AE9" s="495"/>
      <c r="AF9" s="495"/>
      <c r="AG9" s="495" t="e">
        <f>#REF!</f>
        <v>#REF!</v>
      </c>
      <c r="AH9" s="495"/>
      <c r="AI9" s="495"/>
      <c r="AJ9" s="495" t="e">
        <f>#REF!</f>
        <v>#REF!</v>
      </c>
      <c r="AK9" s="495"/>
      <c r="AL9" s="495"/>
      <c r="AM9" s="495" t="e">
        <f>#REF!</f>
        <v>#REF!</v>
      </c>
      <c r="AN9" s="495"/>
      <c r="AO9" s="495"/>
      <c r="AP9" s="13"/>
      <c r="AQ9" s="14"/>
      <c r="AR9" s="14"/>
      <c r="AS9" s="14"/>
      <c r="AT9" s="14"/>
      <c r="AU9" s="14"/>
      <c r="AV9" s="14"/>
      <c r="AW9" s="14"/>
      <c r="AX9" s="14"/>
    </row>
    <row r="10" spans="3:50">
      <c r="G10" s="436" t="s">
        <v>476</v>
      </c>
      <c r="H10" s="436"/>
      <c r="I10" s="436"/>
      <c r="J10" s="436"/>
      <c r="K10" s="436"/>
      <c r="L10" s="436"/>
      <c r="M10" s="436"/>
      <c r="N10" s="436"/>
      <c r="O10" s="436"/>
      <c r="P10" s="436"/>
      <c r="Q10" s="436"/>
      <c r="R10" s="436"/>
      <c r="S10" s="436"/>
      <c r="T10" s="436"/>
      <c r="U10" s="436"/>
      <c r="V10" s="436"/>
      <c r="W10" s="436"/>
      <c r="X10" s="436"/>
      <c r="Y10" s="436"/>
      <c r="Z10" s="436"/>
      <c r="AA10" s="436"/>
      <c r="AB10" s="436"/>
      <c r="AC10" s="436"/>
      <c r="AD10" s="436"/>
      <c r="AE10" s="436"/>
      <c r="AF10" s="436"/>
      <c r="AG10" s="436"/>
      <c r="AH10" s="436"/>
      <c r="AI10" s="436"/>
      <c r="AJ10" s="436"/>
      <c r="AK10" s="436"/>
      <c r="AL10" s="436"/>
      <c r="AM10" s="436"/>
      <c r="AN10" s="436"/>
      <c r="AO10" s="436"/>
      <c r="AP10" s="436"/>
      <c r="AQ10" s="436"/>
      <c r="AR10" s="436"/>
    </row>
    <row r="11" spans="3:50">
      <c r="E11" t="s">
        <v>477</v>
      </c>
    </row>
    <row r="12" spans="3:50">
      <c r="G12" s="436" t="s">
        <v>478</v>
      </c>
      <c r="H12" s="436"/>
      <c r="I12" s="436"/>
      <c r="J12" s="436"/>
      <c r="K12" s="436"/>
      <c r="L12" s="436"/>
      <c r="M12" s="436"/>
      <c r="N12" s="436"/>
      <c r="O12" s="436"/>
      <c r="P12" s="436"/>
      <c r="Q12" s="436"/>
      <c r="R12" s="436"/>
      <c r="S12" s="436"/>
      <c r="T12" s="436"/>
      <c r="U12" s="436"/>
      <c r="V12" s="436"/>
      <c r="W12" s="436"/>
      <c r="X12" s="436"/>
      <c r="Y12" s="436"/>
      <c r="Z12" s="436"/>
      <c r="AA12" s="436"/>
      <c r="AB12" s="436"/>
      <c r="AC12" s="436" t="s">
        <v>479</v>
      </c>
      <c r="AD12" s="436"/>
      <c r="AE12" s="436"/>
      <c r="AF12" s="436" t="s">
        <v>480</v>
      </c>
      <c r="AG12" s="436"/>
      <c r="AH12" s="436"/>
      <c r="AI12" s="436"/>
      <c r="AJ12" s="496" t="s">
        <v>481</v>
      </c>
      <c r="AK12" s="497"/>
      <c r="AL12" s="497"/>
      <c r="AM12" s="497"/>
      <c r="AN12" s="498"/>
    </row>
    <row r="13" spans="3:50">
      <c r="F13" s="201" t="s">
        <v>1239</v>
      </c>
      <c r="G13" s="436" t="s">
        <v>454</v>
      </c>
      <c r="H13" s="436"/>
      <c r="I13" s="436"/>
      <c r="J13" s="436"/>
      <c r="K13" s="436"/>
      <c r="L13" s="436"/>
      <c r="M13" s="436"/>
      <c r="N13" s="436"/>
      <c r="O13" s="436"/>
      <c r="P13" s="436"/>
      <c r="Q13" s="436"/>
      <c r="R13" s="436"/>
      <c r="S13" s="436"/>
      <c r="T13" s="436"/>
      <c r="U13" s="436"/>
      <c r="V13" s="436"/>
      <c r="W13" s="436"/>
      <c r="X13" s="436"/>
      <c r="Y13" s="436"/>
      <c r="Z13" s="436"/>
      <c r="AA13" s="436"/>
      <c r="AB13" s="436"/>
      <c r="AC13" s="436" t="s">
        <v>482</v>
      </c>
      <c r="AD13" s="436"/>
      <c r="AE13" s="436"/>
      <c r="AF13" s="436" t="s">
        <v>455</v>
      </c>
      <c r="AG13" s="436"/>
      <c r="AH13" s="436"/>
      <c r="AI13" s="436"/>
      <c r="AJ13" s="496">
        <f>0.02381*J6+0.02381*L6+0.04762*2*N6+0.04762*4*Q6+0.04762*5*T6+0.04762*6.5*W6+0.04762*4.5*AM6+0.07143*AJ6-0.04762*AD6</f>
        <v>4.3812781000000003</v>
      </c>
      <c r="AK13" s="497"/>
      <c r="AL13" s="497"/>
      <c r="AM13" s="497"/>
      <c r="AN13" s="498"/>
      <c r="AO13" s="15"/>
      <c r="AP13" s="15"/>
      <c r="AQ13" s="15"/>
      <c r="AR13" s="15"/>
    </row>
    <row r="14" spans="3:50">
      <c r="F14" s="200" t="s">
        <v>1240</v>
      </c>
      <c r="G14" s="436" t="s">
        <v>483</v>
      </c>
      <c r="H14" s="436"/>
      <c r="I14" s="436"/>
      <c r="J14" s="436"/>
      <c r="K14" s="436"/>
      <c r="L14" s="436"/>
      <c r="M14" s="436"/>
      <c r="N14" s="436"/>
      <c r="O14" s="436"/>
      <c r="P14" s="436"/>
      <c r="Q14" s="436"/>
      <c r="R14" s="436"/>
      <c r="S14" s="436"/>
      <c r="T14" s="436"/>
      <c r="U14" s="436"/>
      <c r="V14" s="436"/>
      <c r="W14" s="436"/>
      <c r="X14" s="436"/>
      <c r="Y14" s="436"/>
      <c r="Z14" s="436"/>
      <c r="AA14" s="436"/>
      <c r="AB14" s="436"/>
      <c r="AC14" s="436" t="s">
        <v>484</v>
      </c>
      <c r="AD14" s="436"/>
      <c r="AE14" s="436"/>
      <c r="AF14" s="436" t="s">
        <v>485</v>
      </c>
      <c r="AG14" s="436"/>
      <c r="AH14" s="436"/>
      <c r="AI14" s="436"/>
      <c r="AJ14" s="496">
        <v>1.2929999999999999</v>
      </c>
      <c r="AK14" s="497"/>
      <c r="AL14" s="497"/>
      <c r="AM14" s="497"/>
      <c r="AN14" s="498"/>
    </row>
    <row r="15" spans="3:50">
      <c r="F15" s="201" t="s">
        <v>1239</v>
      </c>
      <c r="G15" s="436" t="s">
        <v>486</v>
      </c>
      <c r="H15" s="436"/>
      <c r="I15" s="436"/>
      <c r="J15" s="436"/>
      <c r="K15" s="436"/>
      <c r="L15" s="436"/>
      <c r="M15" s="436"/>
      <c r="N15" s="436"/>
      <c r="O15" s="436"/>
      <c r="P15" s="436"/>
      <c r="Q15" s="436"/>
      <c r="R15" s="436"/>
      <c r="S15" s="436"/>
      <c r="T15" s="436"/>
      <c r="U15" s="436"/>
      <c r="V15" s="436"/>
      <c r="W15" s="436"/>
      <c r="X15" s="436"/>
      <c r="Y15" s="436"/>
      <c r="Z15" s="436"/>
      <c r="AA15" s="436"/>
      <c r="AB15" s="436"/>
      <c r="AC15" s="436" t="s">
        <v>487</v>
      </c>
      <c r="AD15" s="436"/>
      <c r="AE15" s="436"/>
      <c r="AF15" s="436" t="s">
        <v>485</v>
      </c>
      <c r="AG15" s="436"/>
      <c r="AH15" s="436"/>
      <c r="AI15" s="436"/>
      <c r="AJ15" s="496">
        <f>AJ13*AJ14</f>
        <v>5.6649925833000001</v>
      </c>
      <c r="AK15" s="497"/>
      <c r="AL15" s="497"/>
      <c r="AM15" s="497"/>
      <c r="AN15" s="498"/>
    </row>
    <row r="16" spans="3:50">
      <c r="F16" s="198" t="s">
        <v>1238</v>
      </c>
      <c r="G16" s="436" t="s">
        <v>488</v>
      </c>
      <c r="H16" s="436"/>
      <c r="I16" s="436"/>
      <c r="J16" s="436"/>
      <c r="K16" s="436"/>
      <c r="L16" s="436"/>
      <c r="M16" s="436"/>
      <c r="N16" s="436"/>
      <c r="O16" s="436"/>
      <c r="P16" s="436"/>
      <c r="Q16" s="436"/>
      <c r="R16" s="436"/>
      <c r="S16" s="436"/>
      <c r="T16" s="436"/>
      <c r="U16" s="436"/>
      <c r="V16" s="436"/>
      <c r="W16" s="436"/>
      <c r="X16" s="436"/>
      <c r="Y16" s="436"/>
      <c r="Z16" s="436"/>
      <c r="AA16" s="436"/>
      <c r="AB16" s="436"/>
      <c r="AC16" s="436" t="s">
        <v>489</v>
      </c>
      <c r="AD16" s="436"/>
      <c r="AE16" s="436"/>
      <c r="AF16" s="435" t="s">
        <v>1261</v>
      </c>
      <c r="AG16" s="436"/>
      <c r="AH16" s="436"/>
      <c r="AI16" s="436"/>
      <c r="AJ16" s="518">
        <v>1.1000000000000001</v>
      </c>
      <c r="AK16" s="519"/>
      <c r="AL16" s="519"/>
      <c r="AM16" s="519"/>
      <c r="AN16" s="520"/>
    </row>
    <row r="17" spans="6:40">
      <c r="F17" s="201" t="s">
        <v>1239</v>
      </c>
      <c r="G17" s="499" t="s">
        <v>490</v>
      </c>
      <c r="H17" s="499"/>
      <c r="I17" s="499"/>
      <c r="J17" s="499"/>
      <c r="K17" s="499"/>
      <c r="L17" s="499"/>
      <c r="M17" s="499"/>
      <c r="N17" s="499"/>
      <c r="O17" s="499"/>
      <c r="P17" s="499"/>
      <c r="Q17" s="499"/>
      <c r="R17" s="499"/>
      <c r="S17" s="499"/>
      <c r="T17" s="499"/>
      <c r="U17" s="499"/>
      <c r="V17" s="499"/>
      <c r="W17" s="499"/>
      <c r="X17" s="499"/>
      <c r="Y17" s="499"/>
      <c r="Z17" s="499"/>
      <c r="AA17" s="499"/>
      <c r="AB17" s="499"/>
      <c r="AC17" s="436" t="s">
        <v>491</v>
      </c>
      <c r="AD17" s="436"/>
      <c r="AE17" s="436"/>
      <c r="AF17" s="436" t="s">
        <v>455</v>
      </c>
      <c r="AG17" s="436"/>
      <c r="AH17" s="436"/>
      <c r="AI17" s="436"/>
      <c r="AJ17" s="515">
        <f>AJ16*AJ13</f>
        <v>4.8194059100000004</v>
      </c>
      <c r="AK17" s="516"/>
      <c r="AL17" s="516"/>
      <c r="AM17" s="516"/>
      <c r="AN17" s="517"/>
    </row>
    <row r="18" spans="6:40">
      <c r="F18" s="200" t="s">
        <v>1242</v>
      </c>
      <c r="G18" s="436" t="s">
        <v>492</v>
      </c>
      <c r="H18" s="436"/>
      <c r="I18" s="436"/>
      <c r="J18" s="436"/>
      <c r="K18" s="436"/>
      <c r="L18" s="436"/>
      <c r="M18" s="436"/>
      <c r="N18" s="436"/>
      <c r="O18" s="436"/>
      <c r="P18" s="436"/>
      <c r="Q18" s="436"/>
      <c r="R18" s="436"/>
      <c r="S18" s="436"/>
      <c r="T18" s="436"/>
      <c r="U18" s="436"/>
      <c r="V18" s="436"/>
      <c r="W18" s="436"/>
      <c r="X18" s="436"/>
      <c r="Y18" s="436"/>
      <c r="Z18" s="436"/>
      <c r="AA18" s="436"/>
      <c r="AB18" s="436"/>
      <c r="AC18" s="436" t="s">
        <v>493</v>
      </c>
      <c r="AD18" s="436"/>
      <c r="AE18" s="436"/>
      <c r="AF18" s="436" t="s">
        <v>494</v>
      </c>
      <c r="AG18" s="436"/>
      <c r="AH18" s="436"/>
      <c r="AI18" s="436"/>
      <c r="AJ18" s="496">
        <v>0</v>
      </c>
      <c r="AK18" s="497"/>
      <c r="AL18" s="497"/>
      <c r="AM18" s="497"/>
      <c r="AN18" s="498"/>
    </row>
    <row r="19" spans="6:40">
      <c r="F19" s="200" t="s">
        <v>1242</v>
      </c>
      <c r="G19" s="436" t="s">
        <v>495</v>
      </c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436"/>
      <c r="AB19" s="436"/>
      <c r="AC19" s="436" t="s">
        <v>496</v>
      </c>
      <c r="AD19" s="436"/>
      <c r="AE19" s="436"/>
      <c r="AF19" s="436" t="s">
        <v>494</v>
      </c>
      <c r="AG19" s="436"/>
      <c r="AH19" s="436"/>
      <c r="AI19" s="436"/>
      <c r="AJ19" s="496">
        <v>0</v>
      </c>
      <c r="AK19" s="497"/>
      <c r="AL19" s="497"/>
      <c r="AM19" s="497"/>
      <c r="AN19" s="498"/>
    </row>
    <row r="20" spans="6:40">
      <c r="F20" s="201" t="s">
        <v>1239</v>
      </c>
      <c r="G20" s="499" t="s">
        <v>497</v>
      </c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499"/>
      <c r="Z20" s="499"/>
      <c r="AA20" s="499"/>
      <c r="AB20" s="499"/>
      <c r="AC20" s="436" t="s">
        <v>491</v>
      </c>
      <c r="AD20" s="436"/>
      <c r="AE20" s="436"/>
      <c r="AF20" s="436" t="s">
        <v>455</v>
      </c>
      <c r="AG20" s="436"/>
      <c r="AH20" s="436"/>
      <c r="AI20" s="436"/>
      <c r="AJ20" s="515">
        <f>AJ13*AJ16*(1+0.00124*AJ19)</f>
        <v>4.8194059100000004</v>
      </c>
      <c r="AK20" s="516"/>
      <c r="AL20" s="516"/>
      <c r="AM20" s="516"/>
      <c r="AN20" s="517"/>
    </row>
    <row r="21" spans="6:40">
      <c r="F21" s="201" t="s">
        <v>1239</v>
      </c>
      <c r="G21" s="436" t="s">
        <v>498</v>
      </c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436"/>
      <c r="AA21" s="436"/>
      <c r="AB21" s="436"/>
      <c r="AC21" s="436" t="s">
        <v>499</v>
      </c>
      <c r="AD21" s="436"/>
      <c r="AE21" s="436"/>
      <c r="AF21" s="436" t="s">
        <v>455</v>
      </c>
      <c r="AG21" s="436"/>
      <c r="AH21" s="436"/>
      <c r="AI21" s="436"/>
      <c r="AJ21" s="496">
        <f>0.01*(AG6+L6+AJ6+3*AM6+3*T6+3*W6+3*Q6+1*N6)</f>
        <v>0.43240000000000001</v>
      </c>
      <c r="AK21" s="497"/>
      <c r="AL21" s="497"/>
      <c r="AM21" s="497"/>
      <c r="AN21" s="498"/>
    </row>
    <row r="22" spans="6:40">
      <c r="F22" s="201" t="s">
        <v>1239</v>
      </c>
      <c r="G22" s="436" t="s">
        <v>500</v>
      </c>
      <c r="H22" s="436"/>
      <c r="I22" s="436"/>
      <c r="J22" s="436"/>
      <c r="K22" s="436"/>
      <c r="L22" s="436"/>
      <c r="M22" s="436"/>
      <c r="N22" s="436"/>
      <c r="O22" s="436"/>
      <c r="P22" s="436"/>
      <c r="Q22" s="436"/>
      <c r="R22" s="436"/>
      <c r="S22" s="436"/>
      <c r="T22" s="436"/>
      <c r="U22" s="436"/>
      <c r="V22" s="436"/>
      <c r="W22" s="436"/>
      <c r="X22" s="436"/>
      <c r="Y22" s="436"/>
      <c r="Z22" s="436"/>
      <c r="AA22" s="436"/>
      <c r="AB22" s="436"/>
      <c r="AC22" s="436" t="s">
        <v>501</v>
      </c>
      <c r="AD22" s="436"/>
      <c r="AE22" s="436"/>
      <c r="AF22" s="436" t="s">
        <v>455</v>
      </c>
      <c r="AG22" s="436"/>
      <c r="AH22" s="436"/>
      <c r="AI22" s="436"/>
      <c r="AJ22" s="496">
        <f>0.01*AA6+0.79*AJ13</f>
        <v>3.4955096990000003</v>
      </c>
      <c r="AK22" s="497"/>
      <c r="AL22" s="497"/>
      <c r="AM22" s="497"/>
      <c r="AN22" s="498"/>
    </row>
    <row r="23" spans="6:40">
      <c r="F23" s="201" t="s">
        <v>1239</v>
      </c>
      <c r="G23" s="436" t="s">
        <v>502</v>
      </c>
      <c r="H23" s="436"/>
      <c r="I23" s="436"/>
      <c r="J23" s="436"/>
      <c r="K23" s="436"/>
      <c r="L23" s="436"/>
      <c r="M23" s="436"/>
      <c r="N23" s="436"/>
      <c r="O23" s="436"/>
      <c r="P23" s="436"/>
      <c r="Q23" s="436"/>
      <c r="R23" s="436"/>
      <c r="S23" s="436"/>
      <c r="T23" s="436"/>
      <c r="U23" s="436"/>
      <c r="V23" s="436"/>
      <c r="W23" s="436"/>
      <c r="X23" s="436"/>
      <c r="Y23" s="436"/>
      <c r="Z23" s="436"/>
      <c r="AA23" s="436"/>
      <c r="AB23" s="436"/>
      <c r="AC23" s="436" t="s">
        <v>501</v>
      </c>
      <c r="AD23" s="436"/>
      <c r="AE23" s="436"/>
      <c r="AF23" s="436" t="s">
        <v>455</v>
      </c>
      <c r="AG23" s="436"/>
      <c r="AH23" s="436"/>
      <c r="AI23" s="436"/>
      <c r="AJ23" s="496">
        <f>0.01*AA6+0.79*AJ13*AJ16</f>
        <v>3.8416306689000006</v>
      </c>
      <c r="AK23" s="497"/>
      <c r="AL23" s="497"/>
      <c r="AM23" s="497"/>
      <c r="AN23" s="498"/>
    </row>
    <row r="24" spans="6:40">
      <c r="F24" s="201" t="s">
        <v>1239</v>
      </c>
      <c r="G24" s="436" t="s">
        <v>503</v>
      </c>
      <c r="H24" s="436"/>
      <c r="I24" s="436"/>
      <c r="J24" s="436"/>
      <c r="K24" s="436"/>
      <c r="L24" s="436"/>
      <c r="M24" s="436"/>
      <c r="N24" s="436"/>
      <c r="O24" s="436"/>
      <c r="P24" s="436"/>
      <c r="Q24" s="436"/>
      <c r="R24" s="436"/>
      <c r="S24" s="436"/>
      <c r="T24" s="436"/>
      <c r="U24" s="436"/>
      <c r="V24" s="436"/>
      <c r="W24" s="436"/>
      <c r="X24" s="436"/>
      <c r="Y24" s="436"/>
      <c r="Z24" s="436"/>
      <c r="AA24" s="436"/>
      <c r="AB24" s="436"/>
      <c r="AC24" s="436" t="s">
        <v>504</v>
      </c>
      <c r="AD24" s="436"/>
      <c r="AE24" s="436"/>
      <c r="AF24" s="436" t="s">
        <v>455</v>
      </c>
      <c r="AG24" s="436"/>
      <c r="AH24" s="436"/>
      <c r="AI24" s="436"/>
      <c r="AJ24" s="496">
        <f>0.01*(J6+2*N6+2*Q6+4*T6+5*W6+3*AM6+AJ6+0.124*(AJ18+AJ19*AJ13))</f>
        <v>1.1393</v>
      </c>
      <c r="AK24" s="497"/>
      <c r="AL24" s="497"/>
      <c r="AM24" s="497"/>
      <c r="AN24" s="498"/>
    </row>
    <row r="25" spans="6:40">
      <c r="F25" s="201" t="s">
        <v>1239</v>
      </c>
      <c r="G25" s="436" t="s">
        <v>505</v>
      </c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/>
      <c r="V25" s="436"/>
      <c r="W25" s="436"/>
      <c r="X25" s="436"/>
      <c r="Y25" s="436"/>
      <c r="Z25" s="436"/>
      <c r="AA25" s="436"/>
      <c r="AB25" s="436"/>
      <c r="AC25" s="436" t="s">
        <v>504</v>
      </c>
      <c r="AD25" s="436"/>
      <c r="AE25" s="436"/>
      <c r="AF25" s="436" t="s">
        <v>455</v>
      </c>
      <c r="AG25" s="436"/>
      <c r="AH25" s="436"/>
      <c r="AI25" s="436"/>
      <c r="AJ25" s="496">
        <f>0.01*(J6+2*N6+2*Q6+4*T6+5*W6+3*AM6+AJ6+0.124*(AJ18+AJ19*AJ16*AJ13))</f>
        <v>1.1393</v>
      </c>
      <c r="AK25" s="497"/>
      <c r="AL25" s="497"/>
      <c r="AM25" s="497"/>
      <c r="AN25" s="498"/>
    </row>
    <row r="26" spans="6:40">
      <c r="F26" s="201" t="s">
        <v>1239</v>
      </c>
      <c r="G26" s="436" t="s">
        <v>506</v>
      </c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436"/>
      <c r="AA26" s="436"/>
      <c r="AB26" s="436"/>
      <c r="AC26" s="436" t="s">
        <v>507</v>
      </c>
      <c r="AD26" s="436"/>
      <c r="AE26" s="436"/>
      <c r="AF26" s="436" t="s">
        <v>455</v>
      </c>
      <c r="AG26" s="436"/>
      <c r="AH26" s="436"/>
      <c r="AI26" s="436"/>
      <c r="AJ26" s="496">
        <f>0.21*(AJ16-1)*AJ13</f>
        <v>9.2006840100000084E-2</v>
      </c>
      <c r="AK26" s="497"/>
      <c r="AL26" s="497"/>
      <c r="AM26" s="497"/>
      <c r="AN26" s="498"/>
    </row>
    <row r="27" spans="6:40">
      <c r="F27" s="201" t="s">
        <v>1239</v>
      </c>
      <c r="G27" s="499" t="s">
        <v>508</v>
      </c>
      <c r="H27" s="499"/>
      <c r="I27" s="499"/>
      <c r="J27" s="499"/>
      <c r="K27" s="499"/>
      <c r="L27" s="499"/>
      <c r="M27" s="499"/>
      <c r="N27" s="499"/>
      <c r="O27" s="499"/>
      <c r="P27" s="499"/>
      <c r="Q27" s="499"/>
      <c r="R27" s="499"/>
      <c r="S27" s="499"/>
      <c r="T27" s="499"/>
      <c r="U27" s="499"/>
      <c r="V27" s="499"/>
      <c r="W27" s="499"/>
      <c r="X27" s="499"/>
      <c r="Y27" s="499"/>
      <c r="Z27" s="499"/>
      <c r="AA27" s="499"/>
      <c r="AB27" s="499"/>
      <c r="AC27" s="436" t="s">
        <v>509</v>
      </c>
      <c r="AD27" s="436"/>
      <c r="AE27" s="436"/>
      <c r="AF27" s="436" t="s">
        <v>455</v>
      </c>
      <c r="AG27" s="436"/>
      <c r="AH27" s="436"/>
      <c r="AI27" s="436"/>
      <c r="AJ27" s="515">
        <f>AJ21+AJ23+AJ25+AJ26</f>
        <v>5.5053375090000003</v>
      </c>
      <c r="AK27" s="516"/>
      <c r="AL27" s="516"/>
      <c r="AM27" s="516"/>
      <c r="AN27" s="517"/>
    </row>
    <row r="28" spans="6:40">
      <c r="F28" s="201" t="s">
        <v>1239</v>
      </c>
      <c r="G28" s="529" t="s">
        <v>510</v>
      </c>
      <c r="H28" s="529"/>
      <c r="I28" s="529"/>
      <c r="J28" s="529"/>
      <c r="K28" s="529"/>
      <c r="L28" s="529"/>
      <c r="M28" s="529"/>
      <c r="N28" s="529"/>
      <c r="O28" s="529"/>
      <c r="P28" s="529"/>
      <c r="Q28" s="529"/>
      <c r="R28" s="529"/>
      <c r="S28" s="529"/>
      <c r="T28" s="529"/>
      <c r="U28" s="529"/>
      <c r="V28" s="529"/>
      <c r="W28" s="529"/>
      <c r="X28" s="529"/>
      <c r="Y28" s="529"/>
      <c r="Z28" s="529"/>
      <c r="AA28" s="529"/>
      <c r="AB28" s="529"/>
      <c r="AC28" s="529" t="s">
        <v>509</v>
      </c>
      <c r="AD28" s="529"/>
      <c r="AE28" s="529"/>
      <c r="AF28" s="529" t="s">
        <v>455</v>
      </c>
      <c r="AG28" s="529"/>
      <c r="AH28" s="529"/>
      <c r="AI28" s="529"/>
      <c r="AJ28" s="530">
        <f>AJ22+AJ24+AJ21</f>
        <v>5.0672096990000002</v>
      </c>
      <c r="AK28" s="531"/>
      <c r="AL28" s="531"/>
      <c r="AM28" s="531"/>
      <c r="AN28" s="532"/>
    </row>
    <row r="29" spans="6:40">
      <c r="F29" s="201" t="s">
        <v>1239</v>
      </c>
      <c r="G29" s="499" t="s">
        <v>511</v>
      </c>
      <c r="H29" s="499"/>
      <c r="I29" s="499"/>
      <c r="J29" s="499"/>
      <c r="K29" s="499"/>
      <c r="L29" s="499"/>
      <c r="M29" s="499"/>
      <c r="N29" s="499"/>
      <c r="O29" s="499"/>
      <c r="P29" s="499"/>
      <c r="Q29" s="499"/>
      <c r="R29" s="499"/>
      <c r="S29" s="499"/>
      <c r="T29" s="499"/>
      <c r="U29" s="499"/>
      <c r="V29" s="499"/>
      <c r="W29" s="499"/>
      <c r="X29" s="499"/>
      <c r="Y29" s="499"/>
      <c r="Z29" s="499"/>
      <c r="AA29" s="499"/>
      <c r="AB29" s="499"/>
      <c r="AC29" s="529" t="s">
        <v>512</v>
      </c>
      <c r="AD29" s="529"/>
      <c r="AE29" s="529"/>
      <c r="AF29" s="529" t="s">
        <v>513</v>
      </c>
      <c r="AG29" s="529"/>
      <c r="AH29" s="529"/>
      <c r="AI29" s="529"/>
      <c r="AJ29" s="525">
        <f>1000*0.01*(J6*J7+L6*L7+N6*N7+Q6*Q7+T6*T7+W6*W7+AA6*AA7+AD6*AD7+AG6*AG7+AJ6*AJ7+AM6*AM7)</f>
        <v>18064.932999999997</v>
      </c>
      <c r="AK29" s="526"/>
      <c r="AL29" s="526"/>
      <c r="AM29" s="526"/>
      <c r="AN29" s="527"/>
    </row>
    <row r="30" spans="6:40">
      <c r="F30" s="201" t="s">
        <v>1239</v>
      </c>
      <c r="G30" s="529" t="s">
        <v>514</v>
      </c>
      <c r="H30" s="529"/>
      <c r="I30" s="529"/>
      <c r="J30" s="529"/>
      <c r="K30" s="529"/>
      <c r="L30" s="529"/>
      <c r="M30" s="529"/>
      <c r="N30" s="529"/>
      <c r="O30" s="529"/>
      <c r="P30" s="529"/>
      <c r="Q30" s="529"/>
      <c r="R30" s="529"/>
      <c r="S30" s="529"/>
      <c r="T30" s="529"/>
      <c r="U30" s="529"/>
      <c r="V30" s="529"/>
      <c r="W30" s="529"/>
      <c r="X30" s="529"/>
      <c r="Y30" s="529"/>
      <c r="Z30" s="529"/>
      <c r="AA30" s="529"/>
      <c r="AB30" s="529"/>
      <c r="AC30" s="529" t="s">
        <v>515</v>
      </c>
      <c r="AD30" s="529"/>
      <c r="AE30" s="529"/>
      <c r="AF30" s="529" t="s">
        <v>513</v>
      </c>
      <c r="AG30" s="529"/>
      <c r="AH30" s="529"/>
      <c r="AI30" s="529"/>
      <c r="AJ30" s="522">
        <f>1000*0.01*(J6*J8+L6*L8+N6*N8+Q6*Q8+T6*T8+W6*W8+AA6*AA8+AD6*AD8+AG6*AG8+AJ6*AJ8+AM6*AM8)</f>
        <v>20308.8226</v>
      </c>
      <c r="AK30" s="523"/>
      <c r="AL30" s="523"/>
      <c r="AM30" s="523"/>
      <c r="AN30" s="524"/>
    </row>
    <row r="31" spans="6:40">
      <c r="F31" s="200" t="s">
        <v>1242</v>
      </c>
      <c r="G31" s="495" t="s">
        <v>516</v>
      </c>
      <c r="H31" s="495"/>
      <c r="I31" s="495"/>
      <c r="J31" s="495"/>
      <c r="K31" s="495"/>
      <c r="L31" s="495"/>
      <c r="M31" s="495"/>
      <c r="N31" s="495"/>
      <c r="O31" s="495"/>
      <c r="P31" s="495"/>
      <c r="Q31" s="495"/>
      <c r="R31" s="495"/>
      <c r="S31" s="495"/>
      <c r="T31" s="495"/>
      <c r="U31" s="495"/>
      <c r="V31" s="495"/>
      <c r="W31" s="495"/>
      <c r="X31" s="495"/>
      <c r="Y31" s="495"/>
      <c r="Z31" s="495"/>
      <c r="AA31" s="495"/>
      <c r="AB31" s="495"/>
      <c r="AC31" s="529" t="s">
        <v>517</v>
      </c>
      <c r="AD31" s="529"/>
      <c r="AE31" s="529"/>
      <c r="AF31" s="529" t="s">
        <v>518</v>
      </c>
      <c r="AG31" s="529"/>
      <c r="AH31" s="529"/>
      <c r="AI31" s="529"/>
      <c r="AJ31" s="533">
        <v>25</v>
      </c>
      <c r="AK31" s="534"/>
      <c r="AL31" s="534"/>
      <c r="AM31" s="534"/>
      <c r="AN31" s="535"/>
    </row>
    <row r="32" spans="6:40">
      <c r="F32" s="200" t="s">
        <v>1242</v>
      </c>
      <c r="G32" s="495" t="s">
        <v>519</v>
      </c>
      <c r="H32" s="495"/>
      <c r="I32" s="495"/>
      <c r="J32" s="495"/>
      <c r="K32" s="495"/>
      <c r="L32" s="495"/>
      <c r="M32" s="495"/>
      <c r="N32" s="495"/>
      <c r="O32" s="495"/>
      <c r="P32" s="495"/>
      <c r="Q32" s="495"/>
      <c r="R32" s="495"/>
      <c r="S32" s="495"/>
      <c r="T32" s="495"/>
      <c r="U32" s="495"/>
      <c r="V32" s="495"/>
      <c r="W32" s="495"/>
      <c r="X32" s="495"/>
      <c r="Y32" s="495"/>
      <c r="Z32" s="495"/>
      <c r="AA32" s="495"/>
      <c r="AB32" s="495"/>
      <c r="AC32" s="529" t="s">
        <v>520</v>
      </c>
      <c r="AD32" s="529"/>
      <c r="AE32" s="529"/>
      <c r="AF32" s="529" t="s">
        <v>518</v>
      </c>
      <c r="AG32" s="529"/>
      <c r="AH32" s="529"/>
      <c r="AI32" s="529"/>
      <c r="AJ32" s="533">
        <v>25</v>
      </c>
      <c r="AK32" s="534"/>
      <c r="AL32" s="534"/>
      <c r="AM32" s="534"/>
      <c r="AN32" s="535"/>
    </row>
    <row r="33" spans="6:54">
      <c r="F33" s="201" t="s">
        <v>1239</v>
      </c>
      <c r="G33" s="529" t="s">
        <v>521</v>
      </c>
      <c r="H33" s="529"/>
      <c r="I33" s="529"/>
      <c r="J33" s="529"/>
      <c r="K33" s="529"/>
      <c r="L33" s="529"/>
      <c r="M33" s="529"/>
      <c r="N33" s="529"/>
      <c r="O33" s="529"/>
      <c r="P33" s="529"/>
      <c r="Q33" s="529"/>
      <c r="R33" s="529"/>
      <c r="S33" s="529"/>
      <c r="T33" s="529"/>
      <c r="U33" s="529"/>
      <c r="V33" s="529"/>
      <c r="W33" s="529"/>
      <c r="X33" s="529"/>
      <c r="Y33" s="529"/>
      <c r="Z33" s="529"/>
      <c r="AA33" s="529"/>
      <c r="AB33" s="529"/>
      <c r="AC33" s="529" t="s">
        <v>522</v>
      </c>
      <c r="AD33" s="529"/>
      <c r="AE33" s="529"/>
      <c r="AF33" s="536" t="s">
        <v>523</v>
      </c>
      <c r="AG33" s="537"/>
      <c r="AH33" s="537"/>
      <c r="AI33" s="538"/>
      <c r="AJ33" s="543" t="e">
        <f>0.01*(J6*J9+L6*L9+N6*N9+Q6*Q9+T6*T9+W6*W9+AA6*AA9+AD6*AD9+AG6*AG9+AJ6*AJ9+AM6*AM9)</f>
        <v>#REF!</v>
      </c>
      <c r="AK33" s="544"/>
      <c r="AL33" s="544"/>
      <c r="AM33" s="544"/>
      <c r="AN33" s="545"/>
      <c r="BB33" s="3" t="s">
        <v>524</v>
      </c>
    </row>
    <row r="34" spans="6:54">
      <c r="F34" s="199" t="s">
        <v>1237</v>
      </c>
      <c r="G34" s="529" t="s">
        <v>525</v>
      </c>
      <c r="H34" s="529"/>
      <c r="I34" s="529"/>
      <c r="J34" s="529"/>
      <c r="K34" s="529"/>
      <c r="L34" s="529"/>
      <c r="M34" s="529"/>
      <c r="N34" s="529"/>
      <c r="O34" s="529"/>
      <c r="P34" s="529"/>
      <c r="Q34" s="529"/>
      <c r="R34" s="529"/>
      <c r="S34" s="529"/>
      <c r="T34" s="529"/>
      <c r="U34" s="529"/>
      <c r="V34" s="529"/>
      <c r="W34" s="529"/>
      <c r="X34" s="529"/>
      <c r="Y34" s="529"/>
      <c r="Z34" s="529"/>
      <c r="AA34" s="529"/>
      <c r="AB34" s="529"/>
      <c r="AC34" s="529" t="s">
        <v>526</v>
      </c>
      <c r="AD34" s="529"/>
      <c r="AE34" s="529"/>
      <c r="AF34" s="536" t="s">
        <v>523</v>
      </c>
      <c r="AG34" s="537"/>
      <c r="AH34" s="537"/>
      <c r="AI34" s="538"/>
      <c r="AJ34" s="543" t="e">
        <f>#REF!</f>
        <v>#REF!</v>
      </c>
      <c r="AK34" s="544"/>
      <c r="AL34" s="544"/>
      <c r="AM34" s="544"/>
      <c r="AN34" s="545"/>
      <c r="BB34" s="3"/>
    </row>
    <row r="35" spans="6:54">
      <c r="F35" s="199" t="s">
        <v>1237</v>
      </c>
      <c r="G35" s="529" t="s">
        <v>527</v>
      </c>
      <c r="H35" s="529"/>
      <c r="I35" s="529"/>
      <c r="J35" s="529"/>
      <c r="K35" s="529"/>
      <c r="L35" s="529"/>
      <c r="M35" s="529"/>
      <c r="N35" s="529"/>
      <c r="O35" s="529"/>
      <c r="P35" s="529"/>
      <c r="Q35" s="529"/>
      <c r="R35" s="529"/>
      <c r="S35" s="529"/>
      <c r="T35" s="529"/>
      <c r="U35" s="529"/>
      <c r="V35" s="529"/>
      <c r="W35" s="529"/>
      <c r="X35" s="529"/>
      <c r="Y35" s="529"/>
      <c r="Z35" s="529"/>
      <c r="AA35" s="529"/>
      <c r="AB35" s="529"/>
      <c r="AC35" s="529" t="s">
        <v>528</v>
      </c>
      <c r="AD35" s="529"/>
      <c r="AE35" s="529"/>
      <c r="AF35" s="536" t="s">
        <v>523</v>
      </c>
      <c r="AG35" s="537"/>
      <c r="AH35" s="537"/>
      <c r="AI35" s="538"/>
      <c r="AJ35" s="543" t="e">
        <f>#REF!</f>
        <v>#REF!</v>
      </c>
      <c r="AK35" s="544"/>
      <c r="AL35" s="544"/>
      <c r="AM35" s="544"/>
      <c r="AN35" s="545"/>
    </row>
    <row r="36" spans="6:54">
      <c r="F36" s="199" t="s">
        <v>1237</v>
      </c>
      <c r="G36" s="529" t="s">
        <v>529</v>
      </c>
      <c r="H36" s="529"/>
      <c r="I36" s="529"/>
      <c r="J36" s="529"/>
      <c r="K36" s="529"/>
      <c r="L36" s="529"/>
      <c r="M36" s="529"/>
      <c r="N36" s="529"/>
      <c r="O36" s="529"/>
      <c r="P36" s="529"/>
      <c r="Q36" s="529"/>
      <c r="R36" s="529"/>
      <c r="S36" s="529"/>
      <c r="T36" s="529"/>
      <c r="U36" s="529"/>
      <c r="V36" s="529"/>
      <c r="W36" s="529"/>
      <c r="X36" s="529"/>
      <c r="Y36" s="529"/>
      <c r="Z36" s="529"/>
      <c r="AA36" s="529"/>
      <c r="AB36" s="529"/>
      <c r="AC36" s="529" t="s">
        <v>526</v>
      </c>
      <c r="AD36" s="529"/>
      <c r="AE36" s="529"/>
      <c r="AF36" s="536" t="s">
        <v>523</v>
      </c>
      <c r="AG36" s="537"/>
      <c r="AH36" s="537"/>
      <c r="AI36" s="538"/>
      <c r="AJ36" s="543" t="e">
        <f>#REF!</f>
        <v>#REF!</v>
      </c>
      <c r="AK36" s="544"/>
      <c r="AL36" s="544"/>
      <c r="AM36" s="544"/>
      <c r="AN36" s="545"/>
    </row>
    <row r="37" spans="6:54">
      <c r="F37" s="200" t="s">
        <v>1242</v>
      </c>
      <c r="G37" s="495" t="s">
        <v>530</v>
      </c>
      <c r="H37" s="495"/>
      <c r="I37" s="495"/>
      <c r="J37" s="495"/>
      <c r="K37" s="495"/>
      <c r="L37" s="495"/>
      <c r="M37" s="495"/>
      <c r="N37" s="495"/>
      <c r="O37" s="495"/>
      <c r="P37" s="495"/>
      <c r="Q37" s="495"/>
      <c r="R37" s="495"/>
      <c r="S37" s="495"/>
      <c r="T37" s="495"/>
      <c r="U37" s="495"/>
      <c r="V37" s="495"/>
      <c r="W37" s="495"/>
      <c r="X37" s="495"/>
      <c r="Y37" s="495"/>
      <c r="Z37" s="495"/>
      <c r="AA37" s="495"/>
      <c r="AB37" s="495"/>
      <c r="AC37" s="529" t="s">
        <v>531</v>
      </c>
      <c r="AD37" s="529"/>
      <c r="AE37" s="529"/>
      <c r="AF37" s="529" t="s">
        <v>518</v>
      </c>
      <c r="AG37" s="529"/>
      <c r="AH37" s="529"/>
      <c r="AI37" s="529"/>
      <c r="AJ37" s="533">
        <v>2030</v>
      </c>
      <c r="AK37" s="534"/>
      <c r="AL37" s="534"/>
      <c r="AM37" s="534"/>
      <c r="AN37" s="535"/>
    </row>
    <row r="38" spans="6:54">
      <c r="F38" s="199" t="s">
        <v>1237</v>
      </c>
      <c r="G38" s="529" t="s">
        <v>532</v>
      </c>
      <c r="H38" s="529"/>
      <c r="I38" s="529"/>
      <c r="J38" s="529"/>
      <c r="K38" s="529"/>
      <c r="L38" s="529"/>
      <c r="M38" s="529"/>
      <c r="N38" s="529"/>
      <c r="O38" s="529"/>
      <c r="P38" s="529"/>
      <c r="Q38" s="529"/>
      <c r="R38" s="529"/>
      <c r="S38" s="529"/>
      <c r="T38" s="529"/>
      <c r="U38" s="529"/>
      <c r="V38" s="529"/>
      <c r="W38" s="529"/>
      <c r="X38" s="529"/>
      <c r="Y38" s="529"/>
      <c r="Z38" s="529"/>
      <c r="AA38" s="529"/>
      <c r="AB38" s="529"/>
      <c r="AC38" s="529" t="s">
        <v>526</v>
      </c>
      <c r="AD38" s="529"/>
      <c r="AE38" s="529"/>
      <c r="AF38" s="536" t="s">
        <v>523</v>
      </c>
      <c r="AG38" s="537"/>
      <c r="AH38" s="537"/>
      <c r="AI38" s="538"/>
      <c r="AJ38" s="543" t="e">
        <f>#REF!</f>
        <v>#REF!</v>
      </c>
      <c r="AK38" s="544"/>
      <c r="AL38" s="544"/>
      <c r="AM38" s="544"/>
      <c r="AN38" s="545"/>
    </row>
    <row r="39" spans="6:54">
      <c r="F39" s="199" t="s">
        <v>1237</v>
      </c>
      <c r="G39" s="529" t="s">
        <v>533</v>
      </c>
      <c r="H39" s="529"/>
      <c r="I39" s="529"/>
      <c r="J39" s="529"/>
      <c r="K39" s="529"/>
      <c r="L39" s="529"/>
      <c r="M39" s="529"/>
      <c r="N39" s="529"/>
      <c r="O39" s="529"/>
      <c r="P39" s="529"/>
      <c r="Q39" s="529"/>
      <c r="R39" s="529"/>
      <c r="S39" s="529"/>
      <c r="T39" s="529"/>
      <c r="U39" s="529"/>
      <c r="V39" s="529"/>
      <c r="W39" s="529"/>
      <c r="X39" s="529"/>
      <c r="Y39" s="529"/>
      <c r="Z39" s="529"/>
      <c r="AA39" s="529"/>
      <c r="AB39" s="529"/>
      <c r="AC39" s="529" t="s">
        <v>526</v>
      </c>
      <c r="AD39" s="529"/>
      <c r="AE39" s="529"/>
      <c r="AF39" s="536" t="s">
        <v>523</v>
      </c>
      <c r="AG39" s="537"/>
      <c r="AH39" s="537"/>
      <c r="AI39" s="538"/>
      <c r="AJ39" s="543" t="e">
        <f>#REF!</f>
        <v>#REF!</v>
      </c>
      <c r="AK39" s="544"/>
      <c r="AL39" s="544"/>
      <c r="AM39" s="544"/>
      <c r="AN39" s="545"/>
      <c r="AS39">
        <f>AJ27*107500</f>
        <v>591823.78221750003</v>
      </c>
    </row>
    <row r="40" spans="6:54">
      <c r="F40" s="199" t="s">
        <v>1237</v>
      </c>
      <c r="G40" s="529" t="s">
        <v>534</v>
      </c>
      <c r="H40" s="529"/>
      <c r="I40" s="529"/>
      <c r="J40" s="529"/>
      <c r="K40" s="529"/>
      <c r="L40" s="529"/>
      <c r="M40" s="529"/>
      <c r="N40" s="529"/>
      <c r="O40" s="529"/>
      <c r="P40" s="529"/>
      <c r="Q40" s="529"/>
      <c r="R40" s="529"/>
      <c r="S40" s="529"/>
      <c r="T40" s="529"/>
      <c r="U40" s="529"/>
      <c r="V40" s="529"/>
      <c r="W40" s="529"/>
      <c r="X40" s="529"/>
      <c r="Y40" s="529"/>
      <c r="Z40" s="529"/>
      <c r="AA40" s="529"/>
      <c r="AB40" s="529"/>
      <c r="AC40" s="529" t="s">
        <v>526</v>
      </c>
      <c r="AD40" s="529"/>
      <c r="AE40" s="529"/>
      <c r="AF40" s="536" t="s">
        <v>523</v>
      </c>
      <c r="AG40" s="537"/>
      <c r="AH40" s="537"/>
      <c r="AI40" s="538"/>
      <c r="AJ40" s="543" t="e">
        <f>#REF!</f>
        <v>#REF!</v>
      </c>
      <c r="AK40" s="544"/>
      <c r="AL40" s="544"/>
      <c r="AM40" s="544"/>
      <c r="AN40" s="545"/>
      <c r="AS40">
        <f>AJ17*107500</f>
        <v>518086.13532500004</v>
      </c>
    </row>
    <row r="41" spans="6:54">
      <c r="F41" s="199" t="s">
        <v>1237</v>
      </c>
      <c r="G41" s="529" t="s">
        <v>535</v>
      </c>
      <c r="H41" s="529"/>
      <c r="I41" s="529"/>
      <c r="J41" s="529"/>
      <c r="K41" s="529"/>
      <c r="L41" s="529"/>
      <c r="M41" s="529"/>
      <c r="N41" s="529"/>
      <c r="O41" s="529"/>
      <c r="P41" s="529"/>
      <c r="Q41" s="529"/>
      <c r="R41" s="529"/>
      <c r="S41" s="529"/>
      <c r="T41" s="529"/>
      <c r="U41" s="529"/>
      <c r="V41" s="529"/>
      <c r="W41" s="529"/>
      <c r="X41" s="529"/>
      <c r="Y41" s="529"/>
      <c r="Z41" s="529"/>
      <c r="AA41" s="529"/>
      <c r="AB41" s="529"/>
      <c r="AC41" s="529" t="s">
        <v>526</v>
      </c>
      <c r="AD41" s="529"/>
      <c r="AE41" s="529"/>
      <c r="AF41" s="536" t="s">
        <v>523</v>
      </c>
      <c r="AG41" s="537"/>
      <c r="AH41" s="537"/>
      <c r="AI41" s="538"/>
      <c r="AJ41" s="543" t="e">
        <f>#REF!</f>
        <v>#REF!</v>
      </c>
      <c r="AK41" s="544"/>
      <c r="AL41" s="544"/>
      <c r="AM41" s="544"/>
      <c r="AN41" s="545"/>
    </row>
    <row r="42" spans="6:54">
      <c r="F42" s="201" t="s">
        <v>1239</v>
      </c>
      <c r="G42" s="499" t="s">
        <v>536</v>
      </c>
      <c r="H42" s="499"/>
      <c r="I42" s="499"/>
      <c r="J42" s="499"/>
      <c r="K42" s="499"/>
      <c r="L42" s="499"/>
      <c r="M42" s="499"/>
      <c r="N42" s="499"/>
      <c r="O42" s="499"/>
      <c r="P42" s="499"/>
      <c r="Q42" s="499"/>
      <c r="R42" s="499"/>
      <c r="S42" s="499"/>
      <c r="T42" s="499"/>
      <c r="U42" s="499"/>
      <c r="V42" s="499"/>
      <c r="W42" s="499"/>
      <c r="X42" s="499"/>
      <c r="Y42" s="499"/>
      <c r="Z42" s="499"/>
      <c r="AA42" s="499"/>
      <c r="AB42" s="499"/>
      <c r="AC42" s="529" t="s">
        <v>531</v>
      </c>
      <c r="AD42" s="529"/>
      <c r="AE42" s="529"/>
      <c r="AF42" s="529" t="s">
        <v>518</v>
      </c>
      <c r="AG42" s="529"/>
      <c r="AH42" s="529"/>
      <c r="AI42" s="529"/>
      <c r="AJ42" s="525" t="e">
        <f>(AJ29+(AJ33+1.2*AJ34*AJ18)*AJ31+AJ16*AJ13*(AJ35+1.2*AJ36*AJ19)*AJ32)/(AJ21*AJ38+AJ25*AJ39+AJ23*AJ40+AJ26*AJ41)</f>
        <v>#REF!</v>
      </c>
      <c r="AK42" s="526"/>
      <c r="AL42" s="526"/>
      <c r="AM42" s="526"/>
      <c r="AN42" s="527"/>
    </row>
    <row r="43" spans="6:54">
      <c r="F43" s="201" t="s">
        <v>1239</v>
      </c>
      <c r="G43" s="546" t="s">
        <v>537</v>
      </c>
      <c r="H43" s="546"/>
      <c r="I43" s="546"/>
      <c r="J43" s="546"/>
      <c r="K43" s="546"/>
      <c r="L43" s="546"/>
      <c r="M43" s="546"/>
      <c r="N43" s="546"/>
      <c r="O43" s="546"/>
      <c r="P43" s="546"/>
      <c r="Q43" s="546"/>
      <c r="R43" s="546"/>
      <c r="S43" s="546"/>
      <c r="T43" s="546"/>
      <c r="U43" s="546"/>
      <c r="V43" s="546"/>
      <c r="W43" s="546"/>
      <c r="X43" s="546"/>
      <c r="Y43" s="546"/>
      <c r="Z43" s="546"/>
      <c r="AA43" s="546"/>
      <c r="AB43" s="546"/>
      <c r="AC43" s="529"/>
      <c r="AD43" s="529"/>
      <c r="AE43" s="529"/>
      <c r="AF43" s="536" t="s">
        <v>538</v>
      </c>
      <c r="AG43" s="537"/>
      <c r="AH43" s="537"/>
      <c r="AI43" s="538"/>
      <c r="AJ43" s="547" t="e">
        <f>100*(AJ37-AJ42)/AJ37</f>
        <v>#REF!</v>
      </c>
      <c r="AK43" s="548"/>
      <c r="AL43" s="548"/>
      <c r="AM43" s="548"/>
      <c r="AN43" s="549"/>
    </row>
    <row r="44" spans="6:54">
      <c r="F44" s="200" t="s">
        <v>1241</v>
      </c>
      <c r="G44" s="550" t="s">
        <v>539</v>
      </c>
      <c r="H44" s="550"/>
      <c r="I44" s="550"/>
      <c r="J44" s="550"/>
      <c r="K44" s="550"/>
      <c r="L44" s="550"/>
      <c r="M44" s="550"/>
      <c r="N44" s="550"/>
      <c r="O44" s="550"/>
      <c r="P44" s="550"/>
      <c r="Q44" s="550"/>
      <c r="R44" s="550"/>
      <c r="S44" s="550"/>
      <c r="T44" s="550"/>
      <c r="U44" s="550"/>
      <c r="V44" s="550"/>
      <c r="W44" s="550"/>
      <c r="X44" s="550"/>
      <c r="Y44" s="550"/>
      <c r="Z44" s="550"/>
      <c r="AA44" s="550"/>
      <c r="AB44" s="550"/>
      <c r="AC44" s="529" t="s">
        <v>540</v>
      </c>
      <c r="AD44" s="529"/>
      <c r="AE44" s="529"/>
      <c r="AF44" s="536" t="s">
        <v>538</v>
      </c>
      <c r="AG44" s="537"/>
      <c r="AH44" s="537"/>
      <c r="AI44" s="538"/>
      <c r="AJ44" s="551">
        <v>0.5</v>
      </c>
      <c r="AK44" s="552"/>
      <c r="AL44" s="552"/>
      <c r="AM44" s="552"/>
      <c r="AN44" s="553"/>
    </row>
    <row r="45" spans="6:54">
      <c r="F45" s="201" t="s">
        <v>1239</v>
      </c>
      <c r="G45" s="550" t="s">
        <v>543</v>
      </c>
      <c r="H45" s="550"/>
      <c r="I45" s="550"/>
      <c r="J45" s="550"/>
      <c r="K45" s="550"/>
      <c r="L45" s="550"/>
      <c r="M45" s="550"/>
      <c r="N45" s="550"/>
      <c r="O45" s="550"/>
      <c r="P45" s="550"/>
      <c r="Q45" s="550"/>
      <c r="R45" s="550"/>
      <c r="S45" s="550"/>
      <c r="T45" s="550"/>
      <c r="U45" s="550"/>
      <c r="V45" s="550"/>
      <c r="W45" s="550"/>
      <c r="X45" s="550"/>
      <c r="Y45" s="550"/>
      <c r="Z45" s="550"/>
      <c r="AA45" s="550"/>
      <c r="AB45" s="550"/>
      <c r="AC45" s="529" t="s">
        <v>544</v>
      </c>
      <c r="AD45" s="529"/>
      <c r="AE45" s="529"/>
      <c r="AF45" s="529" t="s">
        <v>513</v>
      </c>
      <c r="AG45" s="529"/>
      <c r="AH45" s="529"/>
      <c r="AI45" s="529"/>
      <c r="AJ45" s="554">
        <f>0.01*AJ44*AJ29</f>
        <v>90.324664999999982</v>
      </c>
      <c r="AK45" s="555"/>
      <c r="AL45" s="555"/>
      <c r="AM45" s="555"/>
      <c r="AN45" s="556"/>
    </row>
    <row r="46" spans="6:54">
      <c r="F46" s="200" t="s">
        <v>1241</v>
      </c>
      <c r="G46" s="550" t="s">
        <v>545</v>
      </c>
      <c r="H46" s="550"/>
      <c r="I46" s="550"/>
      <c r="J46" s="550"/>
      <c r="K46" s="550"/>
      <c r="L46" s="550"/>
      <c r="M46" s="550"/>
      <c r="N46" s="550"/>
      <c r="O46" s="550"/>
      <c r="P46" s="550"/>
      <c r="Q46" s="550"/>
      <c r="R46" s="550"/>
      <c r="S46" s="550"/>
      <c r="T46" s="550"/>
      <c r="U46" s="550"/>
      <c r="V46" s="550"/>
      <c r="W46" s="550"/>
      <c r="X46" s="550"/>
      <c r="Y46" s="550"/>
      <c r="Z46" s="550"/>
      <c r="AA46" s="550"/>
      <c r="AB46" s="550"/>
      <c r="AC46" s="529" t="s">
        <v>546</v>
      </c>
      <c r="AD46" s="529"/>
      <c r="AE46" s="529"/>
      <c r="AF46" s="536" t="s">
        <v>538</v>
      </c>
      <c r="AG46" s="537"/>
      <c r="AH46" s="537"/>
      <c r="AI46" s="538"/>
      <c r="AJ46" s="551">
        <v>0.9</v>
      </c>
      <c r="AK46" s="552"/>
      <c r="AL46" s="552"/>
      <c r="AM46" s="552"/>
      <c r="AN46" s="553"/>
    </row>
    <row r="47" spans="6:54">
      <c r="F47" s="201" t="s">
        <v>1239</v>
      </c>
      <c r="G47" s="550" t="s">
        <v>547</v>
      </c>
      <c r="H47" s="550"/>
      <c r="I47" s="550"/>
      <c r="J47" s="550"/>
      <c r="K47" s="550"/>
      <c r="L47" s="550"/>
      <c r="M47" s="550"/>
      <c r="N47" s="550"/>
      <c r="O47" s="550"/>
      <c r="P47" s="550"/>
      <c r="Q47" s="550"/>
      <c r="R47" s="550"/>
      <c r="S47" s="550"/>
      <c r="T47" s="550"/>
      <c r="U47" s="550"/>
      <c r="V47" s="550"/>
      <c r="W47" s="550"/>
      <c r="X47" s="550"/>
      <c r="Y47" s="550"/>
      <c r="Z47" s="550"/>
      <c r="AA47" s="550"/>
      <c r="AB47" s="550"/>
      <c r="AC47" s="529" t="s">
        <v>548</v>
      </c>
      <c r="AD47" s="529"/>
      <c r="AE47" s="529"/>
      <c r="AF47" s="529" t="s">
        <v>513</v>
      </c>
      <c r="AG47" s="529"/>
      <c r="AH47" s="529"/>
      <c r="AI47" s="529"/>
      <c r="AJ47" s="554">
        <f>0.01*AJ46*AJ29</f>
        <v>162.584397</v>
      </c>
      <c r="AK47" s="555"/>
      <c r="AL47" s="555"/>
      <c r="AM47" s="555"/>
      <c r="AN47" s="556"/>
    </row>
    <row r="48" spans="6:54">
      <c r="F48" s="201" t="s">
        <v>1239</v>
      </c>
      <c r="G48" s="499" t="s">
        <v>549</v>
      </c>
      <c r="H48" s="499"/>
      <c r="I48" s="499"/>
      <c r="J48" s="499"/>
      <c r="K48" s="499"/>
      <c r="L48" s="499"/>
      <c r="M48" s="499"/>
      <c r="N48" s="499"/>
      <c r="O48" s="499"/>
      <c r="P48" s="499"/>
      <c r="Q48" s="499"/>
      <c r="R48" s="499"/>
      <c r="S48" s="499"/>
      <c r="T48" s="499"/>
      <c r="U48" s="499"/>
      <c r="V48" s="499"/>
      <c r="W48" s="499"/>
      <c r="X48" s="499"/>
      <c r="Y48" s="499"/>
      <c r="Z48" s="499"/>
      <c r="AA48" s="499"/>
      <c r="AB48" s="499"/>
      <c r="AC48" s="529" t="s">
        <v>531</v>
      </c>
      <c r="AD48" s="529"/>
      <c r="AE48" s="529"/>
      <c r="AF48" s="529" t="s">
        <v>518</v>
      </c>
      <c r="AG48" s="529"/>
      <c r="AH48" s="529"/>
      <c r="AI48" s="529"/>
      <c r="AJ48" s="525" t="e">
        <f>(AJ29-AJ45+(AJ33+1.2*AJ34*AJ18)*AJ31+AJ16*AJ13*(AJ35+1.2*AJ36*AJ19)*AJ32)/(AJ21*AJ38+AJ25*AJ39+AJ23*AJ40+AJ26*AJ41)</f>
        <v>#REF!</v>
      </c>
      <c r="AK48" s="526"/>
      <c r="AL48" s="526"/>
      <c r="AM48" s="526"/>
      <c r="AN48" s="527"/>
    </row>
    <row r="49" spans="6:40">
      <c r="F49" s="200" t="s">
        <v>1241</v>
      </c>
      <c r="G49" s="550" t="s">
        <v>550</v>
      </c>
      <c r="H49" s="550"/>
      <c r="I49" s="550"/>
      <c r="J49" s="550"/>
      <c r="K49" s="550"/>
      <c r="L49" s="550"/>
      <c r="M49" s="550"/>
      <c r="N49" s="550"/>
      <c r="O49" s="550"/>
      <c r="P49" s="550"/>
      <c r="Q49" s="550"/>
      <c r="R49" s="550"/>
      <c r="S49" s="550"/>
      <c r="T49" s="550"/>
      <c r="U49" s="550"/>
      <c r="V49" s="550"/>
      <c r="W49" s="550"/>
      <c r="X49" s="550"/>
      <c r="Y49" s="550"/>
      <c r="Z49" s="550"/>
      <c r="AA49" s="550"/>
      <c r="AB49" s="550"/>
      <c r="AC49" s="529"/>
      <c r="AD49" s="529"/>
      <c r="AE49" s="529"/>
      <c r="AF49" s="536"/>
      <c r="AG49" s="537"/>
      <c r="AH49" s="537"/>
      <c r="AI49" s="538"/>
      <c r="AJ49" s="554">
        <v>0.99</v>
      </c>
      <c r="AK49" s="555"/>
      <c r="AL49" s="555"/>
      <c r="AM49" s="555"/>
      <c r="AN49" s="556"/>
    </row>
    <row r="50" spans="6:40">
      <c r="F50" s="201" t="s">
        <v>1239</v>
      </c>
      <c r="G50" s="557" t="s">
        <v>551</v>
      </c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57"/>
      <c r="AB50" s="557"/>
      <c r="AC50" s="529" t="s">
        <v>531</v>
      </c>
      <c r="AD50" s="529"/>
      <c r="AE50" s="529"/>
      <c r="AF50" s="529" t="s">
        <v>518</v>
      </c>
      <c r="AG50" s="529"/>
      <c r="AH50" s="529"/>
      <c r="AI50" s="529"/>
      <c r="AJ50" s="558" t="e">
        <f>AJ48*AJ49</f>
        <v>#REF!</v>
      </c>
      <c r="AK50" s="559"/>
      <c r="AL50" s="559"/>
      <c r="AM50" s="559"/>
      <c r="AN50" s="560"/>
    </row>
    <row r="51" spans="6:40">
      <c r="F51" s="201" t="s">
        <v>1239</v>
      </c>
      <c r="G51" s="557" t="s">
        <v>552</v>
      </c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57"/>
      <c r="AB51" s="557"/>
      <c r="AC51" s="529" t="s">
        <v>531</v>
      </c>
      <c r="AD51" s="529"/>
      <c r="AE51" s="529"/>
      <c r="AF51" s="529" t="s">
        <v>518</v>
      </c>
      <c r="AG51" s="529"/>
      <c r="AH51" s="529"/>
      <c r="AI51" s="529"/>
      <c r="AJ51" s="558" t="e">
        <f>(AJ29-AJ45-AJ47+(AJ33+1.2*AJ34*AJ18)*AJ31+AJ16*AJ13*(AJ35+1.2*AJ36*AJ19)*AJ32)/(AJ21*AJ38+AJ25*AJ39+AJ23*AJ40+AJ26*AJ41)</f>
        <v>#REF!</v>
      </c>
      <c r="AK51" s="559"/>
      <c r="AL51" s="559"/>
      <c r="AM51" s="559"/>
      <c r="AN51" s="560"/>
    </row>
    <row r="52" spans="6:40">
      <c r="F52" s="199" t="s">
        <v>1237</v>
      </c>
      <c r="G52" s="550" t="s">
        <v>553</v>
      </c>
      <c r="H52" s="550"/>
      <c r="I52" s="550"/>
      <c r="J52" s="550"/>
      <c r="K52" s="550"/>
      <c r="L52" s="550"/>
      <c r="M52" s="550"/>
      <c r="N52" s="550"/>
      <c r="O52" s="550"/>
      <c r="P52" s="550"/>
      <c r="Q52" s="550"/>
      <c r="R52" s="550"/>
      <c r="S52" s="550"/>
      <c r="T52" s="550"/>
      <c r="U52" s="550"/>
      <c r="V52" s="550"/>
      <c r="W52" s="550"/>
      <c r="X52" s="550"/>
      <c r="Y52" s="550"/>
      <c r="Z52" s="550"/>
      <c r="AA52" s="550"/>
      <c r="AB52" s="550"/>
      <c r="AC52" s="529" t="s">
        <v>554</v>
      </c>
      <c r="AD52" s="529"/>
      <c r="AE52" s="529"/>
      <c r="AF52" s="529" t="s">
        <v>513</v>
      </c>
      <c r="AG52" s="529"/>
      <c r="AH52" s="529"/>
      <c r="AI52" s="529"/>
      <c r="AJ52" s="554" t="e">
        <f>#REF!</f>
        <v>#REF!</v>
      </c>
      <c r="AK52" s="555"/>
      <c r="AL52" s="555"/>
      <c r="AM52" s="555"/>
      <c r="AN52" s="556"/>
    </row>
    <row r="53" spans="6:40">
      <c r="F53" s="199" t="s">
        <v>1237</v>
      </c>
      <c r="G53" s="550" t="s">
        <v>555</v>
      </c>
      <c r="H53" s="550"/>
      <c r="I53" s="550"/>
      <c r="J53" s="550"/>
      <c r="K53" s="550"/>
      <c r="L53" s="550"/>
      <c r="M53" s="550"/>
      <c r="N53" s="550"/>
      <c r="O53" s="550"/>
      <c r="P53" s="550"/>
      <c r="Q53" s="550"/>
      <c r="R53" s="550"/>
      <c r="S53" s="550"/>
      <c r="T53" s="550"/>
      <c r="U53" s="550"/>
      <c r="V53" s="550"/>
      <c r="W53" s="550"/>
      <c r="X53" s="550"/>
      <c r="Y53" s="550"/>
      <c r="Z53" s="550"/>
      <c r="AA53" s="550"/>
      <c r="AB53" s="550"/>
      <c r="AC53" s="529" t="s">
        <v>554</v>
      </c>
      <c r="AD53" s="529"/>
      <c r="AE53" s="529"/>
      <c r="AF53" s="529" t="s">
        <v>513</v>
      </c>
      <c r="AG53" s="529"/>
      <c r="AH53" s="529"/>
      <c r="AI53" s="529"/>
      <c r="AJ53" s="554" t="e">
        <f>#REF!</f>
        <v>#REF!</v>
      </c>
      <c r="AK53" s="555"/>
      <c r="AL53" s="555"/>
      <c r="AM53" s="555"/>
      <c r="AN53" s="556"/>
    </row>
    <row r="54" spans="6:40">
      <c r="F54" s="199" t="s">
        <v>1237</v>
      </c>
      <c r="G54" s="550" t="s">
        <v>556</v>
      </c>
      <c r="H54" s="550"/>
      <c r="I54" s="550"/>
      <c r="J54" s="550"/>
      <c r="K54" s="550"/>
      <c r="L54" s="550"/>
      <c r="M54" s="550"/>
      <c r="N54" s="550"/>
      <c r="O54" s="550"/>
      <c r="P54" s="550"/>
      <c r="Q54" s="550"/>
      <c r="R54" s="550"/>
      <c r="S54" s="550"/>
      <c r="T54" s="550"/>
      <c r="U54" s="550"/>
      <c r="V54" s="550"/>
      <c r="W54" s="550"/>
      <c r="X54" s="550"/>
      <c r="Y54" s="550"/>
      <c r="Z54" s="550"/>
      <c r="AA54" s="550"/>
      <c r="AB54" s="550"/>
      <c r="AC54" s="529" t="s">
        <v>554</v>
      </c>
      <c r="AD54" s="529"/>
      <c r="AE54" s="529"/>
      <c r="AF54" s="529" t="s">
        <v>513</v>
      </c>
      <c r="AG54" s="529"/>
      <c r="AH54" s="529"/>
      <c r="AI54" s="529"/>
      <c r="AJ54" s="554" t="e">
        <f>#REF!</f>
        <v>#REF!</v>
      </c>
      <c r="AK54" s="555"/>
      <c r="AL54" s="555"/>
      <c r="AM54" s="555"/>
      <c r="AN54" s="556"/>
    </row>
    <row r="55" spans="6:40">
      <c r="F55" s="199" t="s">
        <v>1237</v>
      </c>
      <c r="G55" s="550" t="s">
        <v>557</v>
      </c>
      <c r="H55" s="550"/>
      <c r="I55" s="550"/>
      <c r="J55" s="550"/>
      <c r="K55" s="550"/>
      <c r="L55" s="550"/>
      <c r="M55" s="550"/>
      <c r="N55" s="550"/>
      <c r="O55" s="550"/>
      <c r="P55" s="550"/>
      <c r="Q55" s="550"/>
      <c r="R55" s="550"/>
      <c r="S55" s="550"/>
      <c r="T55" s="550"/>
      <c r="U55" s="550"/>
      <c r="V55" s="550"/>
      <c r="W55" s="550"/>
      <c r="X55" s="550"/>
      <c r="Y55" s="550"/>
      <c r="Z55" s="550"/>
      <c r="AA55" s="550"/>
      <c r="AB55" s="550"/>
      <c r="AC55" s="529" t="s">
        <v>554</v>
      </c>
      <c r="AD55" s="529"/>
      <c r="AE55" s="529"/>
      <c r="AF55" s="529" t="s">
        <v>513</v>
      </c>
      <c r="AG55" s="529"/>
      <c r="AH55" s="529"/>
      <c r="AI55" s="529"/>
      <c r="AJ55" s="554" t="e">
        <f>#REF!</f>
        <v>#REF!</v>
      </c>
      <c r="AK55" s="555"/>
      <c r="AL55" s="555"/>
      <c r="AM55" s="555"/>
      <c r="AN55" s="556"/>
    </row>
    <row r="56" spans="6:40">
      <c r="F56" s="199" t="s">
        <v>1237</v>
      </c>
      <c r="G56" s="550" t="s">
        <v>558</v>
      </c>
      <c r="H56" s="550"/>
      <c r="I56" s="550"/>
      <c r="J56" s="550"/>
      <c r="K56" s="550"/>
      <c r="L56" s="550"/>
      <c r="M56" s="550"/>
      <c r="N56" s="550"/>
      <c r="O56" s="550"/>
      <c r="P56" s="550"/>
      <c r="Q56" s="550"/>
      <c r="R56" s="550"/>
      <c r="S56" s="550"/>
      <c r="T56" s="550"/>
      <c r="U56" s="550"/>
      <c r="V56" s="550"/>
      <c r="W56" s="550"/>
      <c r="X56" s="550"/>
      <c r="Y56" s="550"/>
      <c r="Z56" s="550"/>
      <c r="AA56" s="550"/>
      <c r="AB56" s="550"/>
      <c r="AC56" s="529" t="s">
        <v>554</v>
      </c>
      <c r="AD56" s="529"/>
      <c r="AE56" s="529"/>
      <c r="AF56" s="529" t="s">
        <v>513</v>
      </c>
      <c r="AG56" s="529"/>
      <c r="AH56" s="529"/>
      <c r="AI56" s="529"/>
      <c r="AJ56" s="554" t="e">
        <f>#REF!</f>
        <v>#REF!</v>
      </c>
      <c r="AK56" s="555"/>
      <c r="AL56" s="555"/>
      <c r="AM56" s="555"/>
      <c r="AN56" s="556"/>
    </row>
    <row r="57" spans="6:40">
      <c r="F57" s="201" t="s">
        <v>1239</v>
      </c>
      <c r="G57" s="550" t="s">
        <v>559</v>
      </c>
      <c r="H57" s="550"/>
      <c r="I57" s="550"/>
      <c r="J57" s="550"/>
      <c r="K57" s="550"/>
      <c r="L57" s="550"/>
      <c r="M57" s="550"/>
      <c r="N57" s="550"/>
      <c r="O57" s="550"/>
      <c r="P57" s="550"/>
      <c r="Q57" s="550"/>
      <c r="R57" s="550"/>
      <c r="S57" s="550"/>
      <c r="T57" s="550"/>
      <c r="U57" s="550"/>
      <c r="V57" s="550"/>
      <c r="W57" s="550"/>
      <c r="X57" s="550"/>
      <c r="Y57" s="550"/>
      <c r="Z57" s="550"/>
      <c r="AA57" s="550"/>
      <c r="AB57" s="550"/>
      <c r="AC57" s="529" t="s">
        <v>560</v>
      </c>
      <c r="AD57" s="529"/>
      <c r="AE57" s="529"/>
      <c r="AF57" s="529" t="s">
        <v>513</v>
      </c>
      <c r="AG57" s="529"/>
      <c r="AH57" s="529"/>
      <c r="AI57" s="529"/>
      <c r="AJ57" s="554" t="e">
        <f>AJ21*AJ52+AJ53*AJ23+AJ25*AJ54</f>
        <v>#REF!</v>
      </c>
      <c r="AK57" s="555"/>
      <c r="AL57" s="555"/>
      <c r="AM57" s="555"/>
      <c r="AN57" s="556"/>
    </row>
    <row r="58" spans="6:40">
      <c r="F58" s="201" t="s">
        <v>1239</v>
      </c>
      <c r="G58" s="550" t="s">
        <v>561</v>
      </c>
      <c r="H58" s="550"/>
      <c r="I58" s="550"/>
      <c r="J58" s="550"/>
      <c r="K58" s="550"/>
      <c r="L58" s="550"/>
      <c r="M58" s="550"/>
      <c r="N58" s="550"/>
      <c r="O58" s="550"/>
      <c r="P58" s="550"/>
      <c r="Q58" s="550"/>
      <c r="R58" s="550"/>
      <c r="S58" s="550"/>
      <c r="T58" s="550"/>
      <c r="U58" s="550"/>
      <c r="V58" s="550"/>
      <c r="W58" s="550"/>
      <c r="X58" s="550"/>
      <c r="Y58" s="550"/>
      <c r="Z58" s="550"/>
      <c r="AA58" s="550"/>
      <c r="AB58" s="550"/>
      <c r="AC58" s="529" t="s">
        <v>562</v>
      </c>
      <c r="AD58" s="529"/>
      <c r="AE58" s="529"/>
      <c r="AF58" s="529" t="s">
        <v>513</v>
      </c>
      <c r="AG58" s="529"/>
      <c r="AH58" s="529"/>
      <c r="AI58" s="529"/>
      <c r="AJ58" s="554" t="e">
        <f>AJ13*AJ55</f>
        <v>#REF!</v>
      </c>
      <c r="AK58" s="555"/>
      <c r="AL58" s="555"/>
      <c r="AM58" s="555"/>
      <c r="AN58" s="556"/>
    </row>
    <row r="59" spans="6:40">
      <c r="F59" s="202" t="s">
        <v>1243</v>
      </c>
      <c r="G59" s="550" t="s">
        <v>563</v>
      </c>
      <c r="H59" s="550"/>
      <c r="I59" s="550"/>
      <c r="J59" s="550"/>
      <c r="K59" s="550"/>
      <c r="L59" s="550"/>
      <c r="M59" s="550"/>
      <c r="N59" s="550"/>
      <c r="O59" s="550"/>
      <c r="P59" s="550"/>
      <c r="Q59" s="550"/>
      <c r="R59" s="550"/>
      <c r="S59" s="550"/>
      <c r="T59" s="550"/>
      <c r="U59" s="550"/>
      <c r="V59" s="550"/>
      <c r="W59" s="550"/>
      <c r="X59" s="550"/>
      <c r="Y59" s="550"/>
      <c r="Z59" s="550"/>
      <c r="AA59" s="550"/>
      <c r="AB59" s="550"/>
      <c r="AC59" s="529" t="s">
        <v>564</v>
      </c>
      <c r="AD59" s="529"/>
      <c r="AE59" s="529"/>
      <c r="AF59" s="529" t="s">
        <v>513</v>
      </c>
      <c r="AG59" s="529"/>
      <c r="AH59" s="529"/>
      <c r="AI59" s="529"/>
      <c r="AJ59" s="554">
        <v>0</v>
      </c>
      <c r="AK59" s="555"/>
      <c r="AL59" s="555"/>
      <c r="AM59" s="555"/>
      <c r="AN59" s="556"/>
    </row>
    <row r="60" spans="6:40">
      <c r="F60" s="201" t="s">
        <v>1239</v>
      </c>
      <c r="G60" s="557" t="s">
        <v>565</v>
      </c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57"/>
      <c r="AB60" s="557"/>
      <c r="AC60" s="529" t="s">
        <v>566</v>
      </c>
      <c r="AD60" s="529"/>
      <c r="AE60" s="529"/>
      <c r="AF60" s="529" t="s">
        <v>513</v>
      </c>
      <c r="AG60" s="529"/>
      <c r="AH60" s="529"/>
      <c r="AI60" s="529"/>
      <c r="AJ60" s="565" t="e">
        <f>AJ59+AJ57+(AJ16-1)*AJ58</f>
        <v>#REF!</v>
      </c>
      <c r="AK60" s="566"/>
      <c r="AL60" s="566"/>
      <c r="AM60" s="566"/>
      <c r="AN60" s="567"/>
    </row>
    <row r="75" spans="5:85"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7"/>
      <c r="AK75" s="17"/>
      <c r="AL75" s="17"/>
      <c r="AM75" s="17"/>
      <c r="AN75" s="17"/>
    </row>
    <row r="76" spans="5:85">
      <c r="E76" t="s">
        <v>567</v>
      </c>
    </row>
    <row r="77" spans="5:85">
      <c r="AB77" t="s">
        <v>568</v>
      </c>
    </row>
    <row r="78" spans="5:85">
      <c r="G78" s="436" t="s">
        <v>478</v>
      </c>
      <c r="H78" s="436"/>
      <c r="I78" s="436"/>
      <c r="J78" s="436"/>
      <c r="K78" s="436"/>
      <c r="L78" s="436"/>
      <c r="M78" s="436"/>
      <c r="N78" s="436"/>
      <c r="O78" s="436"/>
      <c r="P78" s="436"/>
      <c r="Q78" s="436"/>
      <c r="R78" s="436"/>
      <c r="S78" s="436"/>
      <c r="T78" s="436"/>
      <c r="U78" s="436"/>
      <c r="V78" s="436"/>
      <c r="W78" s="436"/>
      <c r="X78" s="436"/>
      <c r="Y78" s="436"/>
      <c r="Z78" s="436"/>
      <c r="AA78" s="436"/>
      <c r="AB78" s="436"/>
      <c r="AC78" s="436" t="s">
        <v>479</v>
      </c>
      <c r="AD78" s="436"/>
      <c r="AE78" s="436"/>
      <c r="AF78" s="436" t="s">
        <v>480</v>
      </c>
      <c r="AG78" s="436"/>
      <c r="AH78" s="436"/>
      <c r="AI78" s="436"/>
      <c r="AJ78" s="436" t="s">
        <v>481</v>
      </c>
      <c r="AK78" s="436"/>
      <c r="AL78" s="436"/>
      <c r="AM78" s="436"/>
      <c r="AN78" s="436"/>
    </row>
    <row r="79" spans="5:85">
      <c r="G79" s="436" t="s">
        <v>569</v>
      </c>
      <c r="H79" s="436"/>
      <c r="I79" s="436"/>
      <c r="J79" s="436"/>
      <c r="K79" s="436"/>
      <c r="L79" s="436"/>
      <c r="M79" s="436"/>
      <c r="N79" s="436"/>
      <c r="O79" s="436"/>
      <c r="P79" s="436"/>
      <c r="Q79" s="436"/>
      <c r="R79" s="436"/>
      <c r="S79" s="436"/>
      <c r="T79" s="436"/>
      <c r="U79" s="436"/>
      <c r="V79" s="436"/>
      <c r="W79" s="436"/>
      <c r="X79" s="436"/>
      <c r="Y79" s="436"/>
      <c r="Z79" s="436"/>
      <c r="AA79" s="436"/>
      <c r="AB79" s="436"/>
      <c r="AC79" s="521" t="s">
        <v>570</v>
      </c>
      <c r="AD79" s="521"/>
      <c r="AE79" s="521"/>
      <c r="AF79" s="436" t="s">
        <v>571</v>
      </c>
      <c r="AG79" s="436"/>
      <c r="AH79" s="436"/>
      <c r="AI79" s="436"/>
      <c r="AJ79" s="495"/>
      <c r="AK79" s="495"/>
      <c r="AL79" s="495"/>
      <c r="AM79" s="495"/>
      <c r="AN79" s="495"/>
      <c r="AT79" s="512" t="s">
        <v>572</v>
      </c>
      <c r="AU79" s="512"/>
      <c r="AV79" s="512"/>
      <c r="AW79" s="512"/>
      <c r="AX79" s="512"/>
      <c r="AY79" s="512"/>
      <c r="AZ79" s="512"/>
      <c r="BA79" s="512"/>
      <c r="BB79" s="512"/>
      <c r="BC79" s="512"/>
      <c r="BD79" s="512"/>
      <c r="BE79" s="512"/>
      <c r="BF79" s="512"/>
      <c r="BG79" s="512"/>
      <c r="BH79" s="512"/>
      <c r="BI79" s="512"/>
      <c r="BJ79" s="512"/>
      <c r="BK79" s="512"/>
      <c r="BL79" s="512"/>
      <c r="BM79" s="512"/>
      <c r="BN79" s="512"/>
      <c r="BO79" s="512"/>
      <c r="BP79" s="512"/>
      <c r="BQ79" s="512"/>
      <c r="BR79" s="512"/>
      <c r="BS79" s="512"/>
      <c r="BT79" s="512"/>
      <c r="BU79" s="512"/>
      <c r="BV79" s="512"/>
      <c r="BW79" s="512"/>
      <c r="BX79" s="512"/>
      <c r="BY79" s="512"/>
      <c r="BZ79" s="512"/>
      <c r="CA79" s="512"/>
      <c r="CB79" s="512"/>
      <c r="CC79" s="512"/>
      <c r="CD79" s="512"/>
      <c r="CE79" s="512"/>
      <c r="CF79" s="512"/>
      <c r="CG79" s="512"/>
    </row>
    <row r="80" spans="5:85">
      <c r="G80" s="436" t="s">
        <v>573</v>
      </c>
      <c r="H80" s="436"/>
      <c r="I80" s="436"/>
      <c r="J80" s="436"/>
      <c r="K80" s="436"/>
      <c r="L80" s="436"/>
      <c r="M80" s="436"/>
      <c r="N80" s="436"/>
      <c r="O80" s="436"/>
      <c r="P80" s="436"/>
      <c r="Q80" s="436"/>
      <c r="R80" s="436"/>
      <c r="S80" s="436"/>
      <c r="T80" s="436"/>
      <c r="U80" s="436"/>
      <c r="V80" s="436"/>
      <c r="W80" s="436"/>
      <c r="X80" s="436"/>
      <c r="Y80" s="436"/>
      <c r="Z80" s="436"/>
      <c r="AA80" s="436"/>
      <c r="AB80" s="436"/>
      <c r="AC80" s="521" t="s">
        <v>574</v>
      </c>
      <c r="AD80" s="521"/>
      <c r="AE80" s="521"/>
      <c r="AF80" s="436" t="s">
        <v>571</v>
      </c>
      <c r="AG80" s="436"/>
      <c r="AH80" s="436"/>
      <c r="AI80" s="436"/>
      <c r="AJ80" s="495">
        <v>3192</v>
      </c>
      <c r="AK80" s="495"/>
      <c r="AL80" s="495"/>
      <c r="AM80" s="495"/>
      <c r="AN80" s="495"/>
    </row>
    <row r="81" spans="7:54">
      <c r="G81" s="503" t="s">
        <v>575</v>
      </c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  <c r="AA81" s="504"/>
      <c r="AB81" s="505"/>
      <c r="AC81" s="503" t="s">
        <v>482</v>
      </c>
      <c r="AD81" s="504"/>
      <c r="AE81" s="505"/>
      <c r="AF81" s="503" t="s">
        <v>576</v>
      </c>
      <c r="AG81" s="504"/>
      <c r="AH81" s="504"/>
      <c r="AI81" s="505"/>
      <c r="AJ81" s="500">
        <f>0.209*AJ80/1000</f>
        <v>0.66712799999999994</v>
      </c>
      <c r="AK81" s="500"/>
      <c r="AL81" s="500"/>
      <c r="AM81" s="500"/>
      <c r="AN81" s="500"/>
      <c r="AT81" s="512" t="s">
        <v>456</v>
      </c>
      <c r="AU81" s="512"/>
      <c r="AV81" s="512"/>
      <c r="AW81" s="512"/>
      <c r="AX81" s="512"/>
      <c r="AY81" s="512"/>
      <c r="AZ81" s="512"/>
      <c r="BA81" s="512"/>
      <c r="BB81" s="512"/>
    </row>
    <row r="82" spans="7:54">
      <c r="G82" s="506"/>
      <c r="H82" s="507"/>
      <c r="I82" s="507"/>
      <c r="J82" s="507"/>
      <c r="K82" s="507"/>
      <c r="L82" s="507"/>
      <c r="M82" s="507"/>
      <c r="N82" s="507"/>
      <c r="O82" s="507"/>
      <c r="P82" s="507"/>
      <c r="Q82" s="507"/>
      <c r="R82" s="507"/>
      <c r="S82" s="507"/>
      <c r="T82" s="507"/>
      <c r="U82" s="507"/>
      <c r="V82" s="507"/>
      <c r="W82" s="507"/>
      <c r="X82" s="507"/>
      <c r="Y82" s="507"/>
      <c r="Z82" s="507"/>
      <c r="AA82" s="507"/>
      <c r="AB82" s="508"/>
      <c r="AC82" s="506"/>
      <c r="AD82" s="507"/>
      <c r="AE82" s="508"/>
      <c r="AF82" s="506"/>
      <c r="AG82" s="507"/>
      <c r="AH82" s="507"/>
      <c r="AI82" s="508"/>
      <c r="AJ82" s="500">
        <f>0.26*AJ80/1000-0.25</f>
        <v>0.5799200000000001</v>
      </c>
      <c r="AK82" s="500"/>
      <c r="AL82" s="500"/>
      <c r="AM82" s="500"/>
      <c r="AN82" s="500"/>
      <c r="AT82" s="512" t="s">
        <v>577</v>
      </c>
      <c r="AU82" s="512"/>
      <c r="AV82" s="512"/>
      <c r="AW82" s="512"/>
      <c r="AX82" s="512"/>
      <c r="AY82" s="512"/>
      <c r="AZ82" s="512"/>
      <c r="BA82" s="512"/>
      <c r="BB82" s="512"/>
    </row>
    <row r="83" spans="7:54">
      <c r="G83" s="506"/>
      <c r="H83" s="507"/>
      <c r="I83" s="507"/>
      <c r="J83" s="507"/>
      <c r="K83" s="507"/>
      <c r="L83" s="507"/>
      <c r="M83" s="507"/>
      <c r="N83" s="507"/>
      <c r="O83" s="507"/>
      <c r="P83" s="507"/>
      <c r="Q83" s="507"/>
      <c r="R83" s="507"/>
      <c r="S83" s="507"/>
      <c r="T83" s="507"/>
      <c r="U83" s="507"/>
      <c r="V83" s="507"/>
      <c r="W83" s="507"/>
      <c r="X83" s="507"/>
      <c r="Y83" s="507"/>
      <c r="Z83" s="507"/>
      <c r="AA83" s="507"/>
      <c r="AB83" s="508"/>
      <c r="AC83" s="506"/>
      <c r="AD83" s="507"/>
      <c r="AE83" s="508"/>
      <c r="AF83" s="506"/>
      <c r="AG83" s="507"/>
      <c r="AH83" s="507"/>
      <c r="AI83" s="508"/>
      <c r="AJ83" s="500">
        <f>0.268*AJ80/1000</f>
        <v>0.85545599999999999</v>
      </c>
      <c r="AK83" s="500"/>
      <c r="AL83" s="500"/>
      <c r="AM83" s="500"/>
      <c r="AN83" s="500"/>
      <c r="AT83" s="512" t="s">
        <v>578</v>
      </c>
      <c r="AU83" s="512"/>
      <c r="AV83" s="512"/>
      <c r="AW83" s="512"/>
      <c r="AX83" s="512"/>
      <c r="AY83" s="512"/>
      <c r="AZ83" s="512"/>
      <c r="BA83" s="512"/>
      <c r="BB83" s="512"/>
    </row>
    <row r="84" spans="7:54">
      <c r="G84" s="509"/>
      <c r="H84" s="510"/>
      <c r="I84" s="510"/>
      <c r="J84" s="510"/>
      <c r="K84" s="510"/>
      <c r="L84" s="510"/>
      <c r="M84" s="510"/>
      <c r="N84" s="510"/>
      <c r="O84" s="510"/>
      <c r="P84" s="510"/>
      <c r="Q84" s="510"/>
      <c r="R84" s="510"/>
      <c r="S84" s="510"/>
      <c r="T84" s="510"/>
      <c r="U84" s="510"/>
      <c r="V84" s="510"/>
      <c r="W84" s="510"/>
      <c r="X84" s="510"/>
      <c r="Y84" s="510"/>
      <c r="Z84" s="510"/>
      <c r="AA84" s="510"/>
      <c r="AB84" s="511"/>
      <c r="AC84" s="509"/>
      <c r="AD84" s="510"/>
      <c r="AE84" s="511"/>
      <c r="AF84" s="509"/>
      <c r="AG84" s="510"/>
      <c r="AH84" s="510"/>
      <c r="AI84" s="511"/>
      <c r="AJ84" s="500">
        <f>0.24*AJ80/1000</f>
        <v>0.76607999999999987</v>
      </c>
      <c r="AK84" s="500"/>
      <c r="AL84" s="500"/>
      <c r="AM84" s="500"/>
      <c r="AN84" s="500"/>
      <c r="AT84" s="512" t="s">
        <v>579</v>
      </c>
      <c r="AU84" s="512"/>
      <c r="AV84" s="512"/>
      <c r="AW84" s="512"/>
      <c r="AX84" s="512"/>
      <c r="AY84" s="512"/>
      <c r="AZ84" s="512"/>
      <c r="BA84" s="512"/>
      <c r="BB84" s="512"/>
    </row>
    <row r="85" spans="7:54">
      <c r="G85" s="436" t="s">
        <v>488</v>
      </c>
      <c r="H85" s="436"/>
      <c r="I85" s="436"/>
      <c r="J85" s="436"/>
      <c r="K85" s="436"/>
      <c r="L85" s="436"/>
      <c r="M85" s="436"/>
      <c r="N85" s="436"/>
      <c r="O85" s="436"/>
      <c r="P85" s="436"/>
      <c r="Q85" s="436"/>
      <c r="R85" s="436"/>
      <c r="S85" s="436"/>
      <c r="T85" s="436"/>
      <c r="U85" s="436"/>
      <c r="V85" s="436"/>
      <c r="W85" s="436"/>
      <c r="X85" s="436"/>
      <c r="Y85" s="436"/>
      <c r="Z85" s="436"/>
      <c r="AA85" s="436"/>
      <c r="AB85" s="436"/>
      <c r="AC85" s="436" t="s">
        <v>356</v>
      </c>
      <c r="AD85" s="436"/>
      <c r="AE85" s="436"/>
      <c r="AF85" s="436"/>
      <c r="AG85" s="436"/>
      <c r="AH85" s="436"/>
      <c r="AI85" s="436"/>
      <c r="AJ85" s="500">
        <v>1.1499999999999999</v>
      </c>
      <c r="AK85" s="500"/>
      <c r="AL85" s="500"/>
      <c r="AM85" s="500"/>
      <c r="AN85" s="500"/>
      <c r="AT85" s="3"/>
      <c r="AU85" s="3"/>
      <c r="AV85" s="3"/>
      <c r="AW85" s="3"/>
      <c r="AX85" s="3"/>
      <c r="AY85" s="3"/>
      <c r="AZ85" s="3"/>
      <c r="BA85" s="3"/>
      <c r="BB85" s="3"/>
    </row>
    <row r="86" spans="7:54">
      <c r="G86" s="499" t="s">
        <v>580</v>
      </c>
      <c r="H86" s="499"/>
      <c r="I86" s="499"/>
      <c r="J86" s="499"/>
      <c r="K86" s="499"/>
      <c r="L86" s="499"/>
      <c r="M86" s="499"/>
      <c r="N86" s="499"/>
      <c r="O86" s="499"/>
      <c r="P86" s="499"/>
      <c r="Q86" s="499"/>
      <c r="R86" s="499"/>
      <c r="S86" s="499"/>
      <c r="T86" s="499"/>
      <c r="U86" s="499"/>
      <c r="V86" s="499"/>
      <c r="W86" s="499"/>
      <c r="X86" s="499"/>
      <c r="Y86" s="499"/>
      <c r="Z86" s="499"/>
      <c r="AA86" s="499"/>
      <c r="AB86" s="499"/>
      <c r="AC86" s="436" t="s">
        <v>491</v>
      </c>
      <c r="AD86" s="436"/>
      <c r="AE86" s="436"/>
      <c r="AF86" s="436" t="s">
        <v>576</v>
      </c>
      <c r="AG86" s="436"/>
      <c r="AH86" s="436"/>
      <c r="AI86" s="436"/>
      <c r="AJ86" s="562">
        <f>AJ85*AJ81</f>
        <v>0.76719719999999991</v>
      </c>
      <c r="AK86" s="562"/>
      <c r="AL86" s="562"/>
      <c r="AM86" s="562"/>
      <c r="AN86" s="562"/>
      <c r="AT86" s="3"/>
      <c r="AU86" s="3"/>
      <c r="AV86" s="3"/>
      <c r="AW86" s="3"/>
      <c r="AX86" s="3"/>
      <c r="AY86" s="3"/>
      <c r="AZ86" s="3"/>
      <c r="BA86" s="3"/>
      <c r="BB86" s="3"/>
    </row>
    <row r="87" spans="7:54">
      <c r="G87" s="503" t="s">
        <v>510</v>
      </c>
      <c r="H87" s="504"/>
      <c r="I87" s="504"/>
      <c r="J87" s="504"/>
      <c r="K87" s="504"/>
      <c r="L87" s="504"/>
      <c r="M87" s="504"/>
      <c r="N87" s="504"/>
      <c r="O87" s="504"/>
      <c r="P87" s="504"/>
      <c r="Q87" s="504"/>
      <c r="R87" s="504"/>
      <c r="S87" s="504"/>
      <c r="T87" s="504"/>
      <c r="U87" s="504"/>
      <c r="V87" s="504"/>
      <c r="W87" s="504"/>
      <c r="X87" s="504"/>
      <c r="Y87" s="504"/>
      <c r="Z87" s="504"/>
      <c r="AA87" s="504"/>
      <c r="AB87" s="505"/>
      <c r="AC87" s="503" t="s">
        <v>581</v>
      </c>
      <c r="AD87" s="504"/>
      <c r="AE87" s="505"/>
      <c r="AF87" s="503" t="s">
        <v>346</v>
      </c>
      <c r="AG87" s="504"/>
      <c r="AH87" s="504"/>
      <c r="AI87" s="505"/>
      <c r="AJ87" s="500">
        <f>0.239*AJ80/1000+2</f>
        <v>2.7628879999999998</v>
      </c>
      <c r="AK87" s="500"/>
      <c r="AL87" s="500"/>
      <c r="AM87" s="500"/>
      <c r="AN87" s="500"/>
      <c r="AT87" s="3" t="s">
        <v>582</v>
      </c>
      <c r="AU87" s="3"/>
      <c r="AV87" s="3"/>
      <c r="AW87" s="3"/>
      <c r="AX87" s="3"/>
      <c r="AY87" s="3"/>
      <c r="AZ87" s="3"/>
      <c r="BA87" s="3"/>
      <c r="BB87" s="3"/>
    </row>
    <row r="88" spans="7:54">
      <c r="G88" s="506"/>
      <c r="H88" s="507"/>
      <c r="I88" s="507"/>
      <c r="J88" s="507"/>
      <c r="K88" s="507"/>
      <c r="L88" s="507"/>
      <c r="M88" s="507"/>
      <c r="N88" s="507"/>
      <c r="O88" s="507"/>
      <c r="P88" s="507"/>
      <c r="Q88" s="507"/>
      <c r="R88" s="507"/>
      <c r="S88" s="507"/>
      <c r="T88" s="507"/>
      <c r="U88" s="507"/>
      <c r="V88" s="507"/>
      <c r="W88" s="507"/>
      <c r="X88" s="507"/>
      <c r="Y88" s="507"/>
      <c r="Z88" s="507"/>
      <c r="AA88" s="507"/>
      <c r="AB88" s="508"/>
      <c r="AC88" s="506"/>
      <c r="AD88" s="507"/>
      <c r="AE88" s="508"/>
      <c r="AF88" s="506"/>
      <c r="AG88" s="507"/>
      <c r="AH88" s="507"/>
      <c r="AI88" s="508"/>
      <c r="AJ88" s="500">
        <f>0.239*AJ81/1000+2.2</f>
        <v>2.2001594435920002</v>
      </c>
      <c r="AK88" s="500"/>
      <c r="AL88" s="500"/>
      <c r="AM88" s="500"/>
      <c r="AN88" s="500"/>
      <c r="AT88" s="3" t="s">
        <v>583</v>
      </c>
      <c r="AU88" s="3"/>
      <c r="AV88" s="3"/>
      <c r="AW88" s="3"/>
      <c r="AX88" s="3"/>
      <c r="AY88" s="3"/>
      <c r="AZ88" s="3"/>
      <c r="BA88" s="3"/>
      <c r="BB88" s="3"/>
    </row>
    <row r="89" spans="7:54">
      <c r="G89" s="506"/>
      <c r="H89" s="507"/>
      <c r="I89" s="507"/>
      <c r="J89" s="507"/>
      <c r="K89" s="507"/>
      <c r="L89" s="507"/>
      <c r="M89" s="507"/>
      <c r="N89" s="507"/>
      <c r="O89" s="507"/>
      <c r="P89" s="507"/>
      <c r="Q89" s="507"/>
      <c r="R89" s="507"/>
      <c r="S89" s="507"/>
      <c r="T89" s="507"/>
      <c r="U89" s="507"/>
      <c r="V89" s="507"/>
      <c r="W89" s="507"/>
      <c r="X89" s="507"/>
      <c r="Y89" s="507"/>
      <c r="Z89" s="507"/>
      <c r="AA89" s="507"/>
      <c r="AB89" s="508"/>
      <c r="AC89" s="506"/>
      <c r="AD89" s="507"/>
      <c r="AE89" s="508"/>
      <c r="AF89" s="506"/>
      <c r="AG89" s="507"/>
      <c r="AH89" s="507"/>
      <c r="AI89" s="508"/>
      <c r="AJ89" s="500">
        <f>0.239*AJ82/1000+4.5</f>
        <v>4.5001386008799997</v>
      </c>
      <c r="AK89" s="500"/>
      <c r="AL89" s="500"/>
      <c r="AM89" s="500"/>
      <c r="AN89" s="500"/>
      <c r="AT89" s="3" t="s">
        <v>584</v>
      </c>
      <c r="AU89" s="3"/>
      <c r="AV89" s="3"/>
      <c r="AW89" s="3"/>
      <c r="AX89" s="3"/>
      <c r="AY89" s="3"/>
      <c r="AZ89" s="3"/>
      <c r="BA89" s="3"/>
      <c r="BB89" s="3"/>
    </row>
    <row r="90" spans="7:54">
      <c r="G90" s="506"/>
      <c r="H90" s="507"/>
      <c r="I90" s="507"/>
      <c r="J90" s="507"/>
      <c r="K90" s="507"/>
      <c r="L90" s="507"/>
      <c r="M90" s="507"/>
      <c r="N90" s="507"/>
      <c r="O90" s="507"/>
      <c r="P90" s="507"/>
      <c r="Q90" s="507"/>
      <c r="R90" s="507"/>
      <c r="S90" s="507"/>
      <c r="T90" s="507"/>
      <c r="U90" s="507"/>
      <c r="V90" s="507"/>
      <c r="W90" s="507"/>
      <c r="X90" s="507"/>
      <c r="Y90" s="507"/>
      <c r="Z90" s="507"/>
      <c r="AA90" s="507"/>
      <c r="AB90" s="508"/>
      <c r="AC90" s="506"/>
      <c r="AD90" s="507"/>
      <c r="AE90" s="508"/>
      <c r="AF90" s="506"/>
      <c r="AG90" s="507"/>
      <c r="AH90" s="507"/>
      <c r="AI90" s="508"/>
      <c r="AJ90" s="500">
        <f>0.272*AJ80/1000+0.25</f>
        <v>1.1182240000000001</v>
      </c>
      <c r="AK90" s="500"/>
      <c r="AL90" s="500"/>
      <c r="AM90" s="500"/>
      <c r="AN90" s="500"/>
      <c r="AT90" s="3" t="s">
        <v>585</v>
      </c>
      <c r="AU90" s="3"/>
      <c r="AV90" s="3"/>
      <c r="AW90" s="3"/>
      <c r="AX90" s="3"/>
      <c r="AY90" s="3"/>
      <c r="AZ90" s="3"/>
      <c r="BA90" s="3"/>
      <c r="BB90" s="3"/>
    </row>
    <row r="91" spans="7:54">
      <c r="G91" s="509"/>
      <c r="H91" s="510"/>
      <c r="I91" s="510"/>
      <c r="J91" s="510"/>
      <c r="K91" s="510"/>
      <c r="L91" s="510"/>
      <c r="M91" s="510"/>
      <c r="N91" s="510"/>
      <c r="O91" s="510"/>
      <c r="P91" s="510"/>
      <c r="Q91" s="510"/>
      <c r="R91" s="510"/>
      <c r="S91" s="510"/>
      <c r="T91" s="510"/>
      <c r="U91" s="510"/>
      <c r="V91" s="510"/>
      <c r="W91" s="510"/>
      <c r="X91" s="510"/>
      <c r="Y91" s="510"/>
      <c r="Z91" s="510"/>
      <c r="AA91" s="510"/>
      <c r="AB91" s="511"/>
      <c r="AC91" s="509"/>
      <c r="AD91" s="510"/>
      <c r="AE91" s="511"/>
      <c r="AF91" s="509"/>
      <c r="AG91" s="510"/>
      <c r="AH91" s="510"/>
      <c r="AI91" s="511"/>
      <c r="AJ91" s="500">
        <f>0.173*AJ80/1000+1</f>
        <v>1.552216</v>
      </c>
      <c r="AK91" s="500"/>
      <c r="AL91" s="500"/>
      <c r="AM91" s="500"/>
      <c r="AN91" s="500"/>
      <c r="AT91" s="3" t="s">
        <v>586</v>
      </c>
      <c r="AU91" s="3"/>
      <c r="AV91" s="3"/>
      <c r="AW91" s="3"/>
      <c r="AX91" s="3"/>
      <c r="AY91" s="3"/>
      <c r="AZ91" s="3"/>
      <c r="BA91" s="3"/>
      <c r="BB91" s="3"/>
    </row>
    <row r="92" spans="7:54">
      <c r="G92" s="495" t="s">
        <v>508</v>
      </c>
      <c r="H92" s="495"/>
      <c r="I92" s="495"/>
      <c r="J92" s="495"/>
      <c r="K92" s="495"/>
      <c r="L92" s="495"/>
      <c r="M92" s="495"/>
      <c r="N92" s="495"/>
      <c r="O92" s="495"/>
      <c r="P92" s="495"/>
      <c r="Q92" s="495"/>
      <c r="R92" s="495"/>
      <c r="S92" s="495"/>
      <c r="T92" s="495"/>
      <c r="U92" s="495"/>
      <c r="V92" s="495"/>
      <c r="W92" s="495"/>
      <c r="X92" s="495"/>
      <c r="Y92" s="495"/>
      <c r="Z92" s="495"/>
      <c r="AA92" s="495"/>
      <c r="AB92" s="495"/>
      <c r="AC92" s="436" t="s">
        <v>509</v>
      </c>
      <c r="AD92" s="436"/>
      <c r="AE92" s="436"/>
      <c r="AF92" s="436" t="s">
        <v>576</v>
      </c>
      <c r="AG92" s="436"/>
      <c r="AH92" s="436"/>
      <c r="AI92" s="436"/>
      <c r="AJ92" s="561">
        <f>AJ91+(AJ85-1)*AJ82</f>
        <v>1.6392040000000001</v>
      </c>
      <c r="AK92" s="561"/>
      <c r="AL92" s="561"/>
      <c r="AM92" s="561"/>
      <c r="AN92" s="561"/>
    </row>
    <row r="93" spans="7:54">
      <c r="G93" s="495" t="s">
        <v>587</v>
      </c>
      <c r="H93" s="495"/>
      <c r="I93" s="495"/>
      <c r="J93" s="495"/>
      <c r="K93" s="495"/>
      <c r="L93" s="495"/>
      <c r="M93" s="495"/>
      <c r="N93" s="495"/>
      <c r="O93" s="495"/>
      <c r="P93" s="495"/>
      <c r="Q93" s="495"/>
      <c r="R93" s="495"/>
      <c r="S93" s="495"/>
      <c r="T93" s="495"/>
      <c r="U93" s="495"/>
      <c r="V93" s="495"/>
      <c r="W93" s="495"/>
      <c r="X93" s="495"/>
      <c r="Y93" s="495"/>
      <c r="Z93" s="495"/>
      <c r="AA93" s="495"/>
      <c r="AB93" s="495"/>
      <c r="AC93" s="436" t="s">
        <v>509</v>
      </c>
      <c r="AD93" s="436"/>
      <c r="AE93" s="436"/>
      <c r="AF93" s="436" t="s">
        <v>576</v>
      </c>
      <c r="AG93" s="436"/>
      <c r="AH93" s="436"/>
      <c r="AI93" s="436"/>
      <c r="AJ93" s="561">
        <f>0.16*AJ80/1000+0.97+(AJ85-1)*AJ81</f>
        <v>1.5807891999999999</v>
      </c>
      <c r="AK93" s="561"/>
      <c r="AL93" s="561"/>
      <c r="AM93" s="561"/>
      <c r="AN93" s="561"/>
    </row>
    <row r="94" spans="7:54">
      <c r="G94" s="495" t="s">
        <v>588</v>
      </c>
      <c r="H94" s="495"/>
      <c r="I94" s="495"/>
      <c r="J94" s="495"/>
      <c r="K94" s="495"/>
      <c r="L94" s="495"/>
      <c r="M94" s="495"/>
      <c r="N94" s="495"/>
      <c r="O94" s="495"/>
      <c r="P94" s="495"/>
      <c r="Q94" s="495"/>
      <c r="R94" s="495"/>
      <c r="S94" s="495"/>
      <c r="T94" s="495"/>
      <c r="U94" s="495"/>
      <c r="V94" s="495"/>
      <c r="W94" s="495"/>
      <c r="X94" s="495"/>
      <c r="Y94" s="495"/>
      <c r="Z94" s="495"/>
      <c r="AA94" s="495"/>
      <c r="AB94" s="495"/>
      <c r="AC94" s="436" t="s">
        <v>509</v>
      </c>
      <c r="AD94" s="436"/>
      <c r="AE94" s="436"/>
      <c r="AF94" s="436" t="s">
        <v>576</v>
      </c>
      <c r="AG94" s="436"/>
      <c r="AH94" s="436"/>
      <c r="AI94" s="436"/>
      <c r="AJ94" s="561">
        <f>0.282*AJ81/1000+0.4+(AJ86-1)*AJ84</f>
        <v>0.22184256107199998</v>
      </c>
      <c r="AK94" s="561"/>
      <c r="AL94" s="561"/>
      <c r="AM94" s="561"/>
      <c r="AN94" s="561"/>
    </row>
    <row r="97" spans="1:34">
      <c r="A97" s="572" t="s">
        <v>371</v>
      </c>
      <c r="B97" s="572"/>
      <c r="C97" s="572"/>
      <c r="D97" s="572"/>
      <c r="E97" s="572"/>
      <c r="F97" s="572"/>
      <c r="G97" s="572"/>
      <c r="H97" s="572"/>
      <c r="I97" s="572"/>
      <c r="J97" s="572"/>
      <c r="K97" s="572"/>
      <c r="L97" s="572"/>
      <c r="M97" s="572"/>
      <c r="N97" s="572"/>
      <c r="O97" s="572"/>
      <c r="P97" s="572"/>
      <c r="Q97" s="572"/>
      <c r="R97" s="572"/>
      <c r="S97" s="572"/>
      <c r="T97" s="572"/>
      <c r="U97" s="572"/>
      <c r="V97" s="572"/>
      <c r="W97" s="572"/>
      <c r="X97" s="572"/>
      <c r="Y97" s="572"/>
    </row>
    <row r="99" spans="1:34">
      <c r="A99" s="564" t="s">
        <v>344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</row>
    <row r="100" spans="1:34">
      <c r="A100" s="436" t="s">
        <v>348</v>
      </c>
      <c r="B100" s="436"/>
      <c r="C100" s="436"/>
      <c r="D100" s="436"/>
      <c r="E100" s="436"/>
      <c r="F100" s="436"/>
      <c r="G100" s="436"/>
      <c r="H100" s="436"/>
      <c r="I100" s="436"/>
      <c r="J100" s="436"/>
      <c r="K100" s="436"/>
      <c r="L100" s="436"/>
      <c r="M100" s="436"/>
      <c r="N100" s="436"/>
      <c r="O100" s="436" t="s">
        <v>345</v>
      </c>
      <c r="P100" s="436"/>
      <c r="Q100" s="436"/>
      <c r="R100" s="436" t="s">
        <v>350</v>
      </c>
      <c r="S100" s="436"/>
      <c r="T100" s="436"/>
      <c r="U100" s="436"/>
      <c r="V100" s="563">
        <v>2930.2</v>
      </c>
      <c r="W100" s="563"/>
      <c r="X100" s="563"/>
      <c r="Y100" s="563"/>
    </row>
    <row r="101" spans="1:34">
      <c r="A101" s="436" t="s">
        <v>349</v>
      </c>
      <c r="B101" s="436"/>
      <c r="C101" s="436"/>
      <c r="D101" s="436"/>
      <c r="E101" s="436"/>
      <c r="F101" s="436"/>
      <c r="G101" s="436"/>
      <c r="H101" s="436" t="s">
        <v>351</v>
      </c>
      <c r="I101" s="436"/>
      <c r="J101" s="436"/>
      <c r="K101" s="436"/>
      <c r="L101" s="436"/>
      <c r="M101" s="436"/>
      <c r="N101" s="436"/>
      <c r="O101" s="436" t="s">
        <v>347</v>
      </c>
      <c r="P101" s="436"/>
      <c r="Q101" s="436"/>
      <c r="R101" s="436" t="s">
        <v>455</v>
      </c>
      <c r="S101" s="436"/>
      <c r="T101" s="436"/>
      <c r="U101" s="436"/>
      <c r="V101" s="568">
        <f>0.264*V100/1000</f>
        <v>0.77357280000000006</v>
      </c>
      <c r="W101" s="568"/>
      <c r="X101" s="568"/>
      <c r="Y101" s="568"/>
    </row>
    <row r="102" spans="1:34">
      <c r="A102" s="436"/>
      <c r="B102" s="436"/>
      <c r="C102" s="436"/>
      <c r="D102" s="436"/>
      <c r="E102" s="436"/>
      <c r="F102" s="436"/>
      <c r="G102" s="436"/>
      <c r="H102" s="436" t="s">
        <v>352</v>
      </c>
      <c r="I102" s="436"/>
      <c r="J102" s="436"/>
      <c r="K102" s="436"/>
      <c r="L102" s="436"/>
      <c r="M102" s="436"/>
      <c r="N102" s="436"/>
      <c r="O102" s="436" t="s">
        <v>347</v>
      </c>
      <c r="P102" s="436"/>
      <c r="Q102" s="436"/>
      <c r="R102" s="436" t="s">
        <v>455</v>
      </c>
      <c r="S102" s="436"/>
      <c r="T102" s="436"/>
      <c r="U102" s="436"/>
      <c r="V102" s="568">
        <f>0.264*V100/1000+0.05</f>
        <v>0.8235728000000001</v>
      </c>
      <c r="W102" s="568"/>
      <c r="X102" s="568"/>
      <c r="Y102" s="568"/>
      <c r="AG102">
        <f>V102*107500</f>
        <v>88534.076000000015</v>
      </c>
    </row>
    <row r="103" spans="1:34">
      <c r="A103" s="436" t="s">
        <v>355</v>
      </c>
      <c r="B103" s="436"/>
      <c r="C103" s="436"/>
      <c r="D103" s="436"/>
      <c r="E103" s="436"/>
      <c r="F103" s="436"/>
      <c r="G103" s="436"/>
      <c r="H103" s="436" t="s">
        <v>357</v>
      </c>
      <c r="I103" s="436"/>
      <c r="J103" s="436"/>
      <c r="K103" s="436"/>
      <c r="L103" s="436"/>
      <c r="M103" s="436"/>
      <c r="N103" s="436"/>
      <c r="O103" s="436" t="s">
        <v>70</v>
      </c>
      <c r="P103" s="436"/>
      <c r="Q103" s="436"/>
      <c r="R103" s="436"/>
      <c r="S103" s="436"/>
      <c r="T103" s="436"/>
      <c r="U103" s="436"/>
      <c r="V103" s="563">
        <v>1.1000000000000001</v>
      </c>
      <c r="W103" s="563"/>
      <c r="X103" s="563"/>
      <c r="Y103" s="563"/>
      <c r="AG103">
        <f>V105*107500</f>
        <v>204887.48360000001</v>
      </c>
    </row>
    <row r="104" spans="1:34">
      <c r="A104" s="436" t="s">
        <v>353</v>
      </c>
      <c r="B104" s="436"/>
      <c r="C104" s="436"/>
      <c r="D104" s="436"/>
      <c r="E104" s="436"/>
      <c r="F104" s="436"/>
      <c r="G104" s="436"/>
      <c r="H104" s="436" t="s">
        <v>351</v>
      </c>
      <c r="I104" s="436"/>
      <c r="J104" s="436"/>
      <c r="K104" s="436"/>
      <c r="L104" s="436"/>
      <c r="M104" s="436"/>
      <c r="N104" s="436"/>
      <c r="O104" s="436" t="s">
        <v>354</v>
      </c>
      <c r="P104" s="436"/>
      <c r="Q104" s="436"/>
      <c r="R104" s="436" t="s">
        <v>455</v>
      </c>
      <c r="S104" s="436"/>
      <c r="T104" s="436"/>
      <c r="U104" s="436"/>
      <c r="V104" s="568">
        <f>0.282*V100/1000+0.38+(V103-1)*V101</f>
        <v>1.2836736799999999</v>
      </c>
      <c r="W104" s="568"/>
      <c r="X104" s="568"/>
      <c r="Y104" s="568"/>
    </row>
    <row r="105" spans="1:34">
      <c r="A105" s="436"/>
      <c r="B105" s="436"/>
      <c r="C105" s="436"/>
      <c r="D105" s="436"/>
      <c r="E105" s="436"/>
      <c r="F105" s="436"/>
      <c r="G105" s="436"/>
      <c r="H105" s="436" t="s">
        <v>352</v>
      </c>
      <c r="I105" s="436"/>
      <c r="J105" s="436"/>
      <c r="K105" s="436"/>
      <c r="L105" s="436"/>
      <c r="M105" s="436"/>
      <c r="N105" s="436"/>
      <c r="O105" s="436" t="s">
        <v>354</v>
      </c>
      <c r="P105" s="436"/>
      <c r="Q105" s="436"/>
      <c r="R105" s="436" t="s">
        <v>455</v>
      </c>
      <c r="S105" s="436"/>
      <c r="T105" s="436"/>
      <c r="U105" s="436"/>
      <c r="V105" s="568">
        <f>0.264*V100/1000+1.05+(V103-1)*V102</f>
        <v>1.9059300800000001</v>
      </c>
      <c r="W105" s="568"/>
      <c r="X105" s="568"/>
      <c r="Y105" s="568"/>
    </row>
    <row r="107" spans="1:34">
      <c r="A107" s="564" t="s">
        <v>364</v>
      </c>
      <c r="B107" s="564"/>
      <c r="C107" s="564"/>
      <c r="D107" s="564"/>
      <c r="E107" s="564"/>
      <c r="F107" s="564"/>
      <c r="G107" s="564"/>
      <c r="H107" s="564"/>
      <c r="I107" s="564"/>
      <c r="J107" s="564"/>
      <c r="K107" s="564"/>
      <c r="L107" s="564"/>
      <c r="M107" s="564"/>
      <c r="N107" s="564"/>
      <c r="O107" s="564"/>
      <c r="P107" s="564"/>
      <c r="Q107" s="564"/>
      <c r="R107" s="564"/>
      <c r="S107" s="564"/>
      <c r="T107" s="564"/>
      <c r="U107" s="564"/>
      <c r="V107" s="564"/>
      <c r="W107" s="564"/>
      <c r="X107" s="564"/>
      <c r="Y107" s="564"/>
    </row>
    <row r="108" spans="1:34">
      <c r="A108" s="436" t="s">
        <v>348</v>
      </c>
      <c r="B108" s="436"/>
      <c r="C108" s="436"/>
      <c r="D108" s="436"/>
      <c r="E108" s="436"/>
      <c r="F108" s="436"/>
      <c r="G108" s="436"/>
      <c r="H108" s="436"/>
      <c r="I108" s="436"/>
      <c r="J108" s="436"/>
      <c r="K108" s="436"/>
      <c r="L108" s="436"/>
      <c r="M108" s="436"/>
      <c r="N108" s="436"/>
      <c r="O108" s="436" t="s">
        <v>345</v>
      </c>
      <c r="P108" s="436"/>
      <c r="Q108" s="436"/>
      <c r="R108" s="436" t="s">
        <v>350</v>
      </c>
      <c r="S108" s="436"/>
      <c r="T108" s="436"/>
      <c r="U108" s="436"/>
      <c r="V108" s="563">
        <v>3192</v>
      </c>
      <c r="W108" s="563"/>
      <c r="X108" s="563"/>
      <c r="Y108" s="563"/>
      <c r="AH108" s="2"/>
    </row>
    <row r="109" spans="1:34">
      <c r="A109" s="436" t="s">
        <v>349</v>
      </c>
      <c r="B109" s="436"/>
      <c r="C109" s="436"/>
      <c r="D109" s="436"/>
      <c r="E109" s="436"/>
      <c r="F109" s="436"/>
      <c r="G109" s="436"/>
      <c r="H109" s="436" t="s">
        <v>358</v>
      </c>
      <c r="I109" s="436"/>
      <c r="J109" s="436"/>
      <c r="K109" s="436"/>
      <c r="L109" s="436"/>
      <c r="M109" s="436"/>
      <c r="N109" s="436"/>
      <c r="O109" s="436" t="s">
        <v>347</v>
      </c>
      <c r="P109" s="436"/>
      <c r="Q109" s="436"/>
      <c r="R109" s="436" t="s">
        <v>455</v>
      </c>
      <c r="S109" s="436"/>
      <c r="T109" s="436"/>
      <c r="U109" s="436"/>
      <c r="V109" s="568">
        <f>0.26*V108/1000-0.25</f>
        <v>0.5799200000000001</v>
      </c>
      <c r="W109" s="568"/>
      <c r="X109" s="568"/>
      <c r="Y109" s="568"/>
    </row>
    <row r="110" spans="1:34">
      <c r="A110" s="436"/>
      <c r="B110" s="436"/>
      <c r="C110" s="436"/>
      <c r="D110" s="436"/>
      <c r="E110" s="436"/>
      <c r="F110" s="436"/>
      <c r="G110" s="436"/>
      <c r="H110" s="436" t="s">
        <v>359</v>
      </c>
      <c r="I110" s="436"/>
      <c r="J110" s="436"/>
      <c r="K110" s="436"/>
      <c r="L110" s="436"/>
      <c r="M110" s="436"/>
      <c r="N110" s="436"/>
      <c r="O110" s="436" t="s">
        <v>347</v>
      </c>
      <c r="P110" s="436"/>
      <c r="Q110" s="436"/>
      <c r="R110" s="436" t="s">
        <v>455</v>
      </c>
      <c r="S110" s="436"/>
      <c r="T110" s="436"/>
      <c r="U110" s="436"/>
      <c r="V110" s="568">
        <f>0.241*V108/1000-0.25</f>
        <v>0.51927199999999996</v>
      </c>
      <c r="W110" s="568"/>
      <c r="X110" s="568"/>
      <c r="Y110" s="568"/>
    </row>
    <row r="111" spans="1:34">
      <c r="A111" s="436" t="s">
        <v>355</v>
      </c>
      <c r="B111" s="436"/>
      <c r="C111" s="436"/>
      <c r="D111" s="436"/>
      <c r="E111" s="436"/>
      <c r="F111" s="436"/>
      <c r="G111" s="436"/>
      <c r="H111" s="436" t="s">
        <v>357</v>
      </c>
      <c r="I111" s="436"/>
      <c r="J111" s="436"/>
      <c r="K111" s="436"/>
      <c r="L111" s="436"/>
      <c r="M111" s="436"/>
      <c r="N111" s="436"/>
      <c r="O111" s="436" t="s">
        <v>70</v>
      </c>
      <c r="P111" s="436"/>
      <c r="Q111" s="436"/>
      <c r="R111" s="436"/>
      <c r="S111" s="436"/>
      <c r="T111" s="436"/>
      <c r="U111" s="436"/>
      <c r="V111" s="563">
        <v>1.1499999999999999</v>
      </c>
      <c r="W111" s="563"/>
      <c r="X111" s="563"/>
      <c r="Y111" s="563"/>
    </row>
    <row r="112" spans="1:34">
      <c r="A112" s="436" t="s">
        <v>353</v>
      </c>
      <c r="B112" s="436"/>
      <c r="C112" s="436"/>
      <c r="D112" s="436"/>
      <c r="E112" s="436"/>
      <c r="F112" s="436"/>
      <c r="G112" s="436"/>
      <c r="H112" s="436" t="s">
        <v>358</v>
      </c>
      <c r="I112" s="436"/>
      <c r="J112" s="436"/>
      <c r="K112" s="436"/>
      <c r="L112" s="436"/>
      <c r="M112" s="436"/>
      <c r="N112" s="436"/>
      <c r="O112" s="436" t="s">
        <v>354</v>
      </c>
      <c r="P112" s="436"/>
      <c r="Q112" s="436"/>
      <c r="R112" s="436" t="s">
        <v>455</v>
      </c>
      <c r="S112" s="436"/>
      <c r="T112" s="436"/>
      <c r="U112" s="436"/>
      <c r="V112" s="568">
        <f>0.272*V108/1000+0.25+(V111-1)*V109</f>
        <v>1.2052120000000002</v>
      </c>
      <c r="W112" s="568"/>
      <c r="X112" s="568"/>
      <c r="Y112" s="568"/>
    </row>
    <row r="113" spans="1:34">
      <c r="A113" s="436"/>
      <c r="B113" s="436"/>
      <c r="C113" s="436"/>
      <c r="D113" s="436"/>
      <c r="E113" s="436"/>
      <c r="F113" s="436"/>
      <c r="G113" s="436"/>
      <c r="H113" s="436" t="s">
        <v>359</v>
      </c>
      <c r="I113" s="436"/>
      <c r="J113" s="436"/>
      <c r="K113" s="436"/>
      <c r="L113" s="436"/>
      <c r="M113" s="436"/>
      <c r="N113" s="436"/>
      <c r="O113" s="436" t="s">
        <v>354</v>
      </c>
      <c r="P113" s="436"/>
      <c r="Q113" s="436"/>
      <c r="R113" s="436" t="s">
        <v>455</v>
      </c>
      <c r="S113" s="436"/>
      <c r="T113" s="436"/>
      <c r="U113" s="436"/>
      <c r="V113" s="568">
        <f>0.173*V108/1000+1+(V111-1)*V110</f>
        <v>1.6301068000000001</v>
      </c>
      <c r="W113" s="568"/>
      <c r="X113" s="568"/>
      <c r="Y113" s="568"/>
    </row>
    <row r="115" spans="1:34">
      <c r="A115" s="564" t="s">
        <v>365</v>
      </c>
      <c r="B115" s="564"/>
      <c r="C115" s="564"/>
      <c r="D115" s="564"/>
      <c r="E115" s="564"/>
      <c r="F115" s="564"/>
      <c r="G115" s="564"/>
      <c r="H115" s="564"/>
      <c r="I115" s="564"/>
      <c r="J115" s="564"/>
      <c r="K115" s="564"/>
      <c r="L115" s="564"/>
      <c r="M115" s="564"/>
      <c r="N115" s="564"/>
      <c r="O115" s="564"/>
      <c r="P115" s="564"/>
      <c r="Q115" s="564"/>
      <c r="R115" s="564"/>
      <c r="S115" s="564"/>
      <c r="T115" s="564"/>
      <c r="U115" s="564"/>
      <c r="V115" s="564"/>
      <c r="W115" s="564"/>
      <c r="X115" s="564"/>
      <c r="Y115" s="564"/>
    </row>
    <row r="116" spans="1:34">
      <c r="A116" s="436" t="s">
        <v>348</v>
      </c>
      <c r="B116" s="436"/>
      <c r="C116" s="436"/>
      <c r="D116" s="436"/>
      <c r="E116" s="436"/>
      <c r="F116" s="436"/>
      <c r="G116" s="436"/>
      <c r="H116" s="436"/>
      <c r="I116" s="436"/>
      <c r="J116" s="436"/>
      <c r="K116" s="436"/>
      <c r="L116" s="436"/>
      <c r="M116" s="436"/>
      <c r="N116" s="436"/>
      <c r="O116" s="436" t="s">
        <v>345</v>
      </c>
      <c r="P116" s="436"/>
      <c r="Q116" s="436"/>
      <c r="R116" s="436" t="s">
        <v>350</v>
      </c>
      <c r="S116" s="436"/>
      <c r="T116" s="436"/>
      <c r="U116" s="436"/>
      <c r="V116" s="563">
        <v>3125</v>
      </c>
      <c r="W116" s="563"/>
      <c r="X116" s="563"/>
      <c r="Y116" s="563"/>
    </row>
    <row r="117" spans="1:34">
      <c r="A117" s="436" t="s">
        <v>360</v>
      </c>
      <c r="B117" s="436"/>
      <c r="C117" s="436"/>
      <c r="D117" s="436"/>
      <c r="E117" s="436"/>
      <c r="F117" s="436"/>
      <c r="G117" s="436"/>
      <c r="H117" s="436"/>
      <c r="I117" s="436"/>
      <c r="J117" s="436"/>
      <c r="K117" s="436"/>
      <c r="L117" s="436"/>
      <c r="M117" s="436"/>
      <c r="N117" s="436"/>
      <c r="O117" s="436" t="s">
        <v>347</v>
      </c>
      <c r="P117" s="436"/>
      <c r="Q117" s="436"/>
      <c r="R117" s="436" t="s">
        <v>455</v>
      </c>
      <c r="S117" s="436"/>
      <c r="T117" s="436"/>
      <c r="U117" s="436"/>
      <c r="V117" s="568">
        <f>0.203*V116/1000+2</f>
        <v>2.6343749999999999</v>
      </c>
      <c r="W117" s="568"/>
      <c r="X117" s="568"/>
      <c r="Y117" s="568"/>
      <c r="AG117" s="2"/>
      <c r="AH117" s="2"/>
    </row>
    <row r="118" spans="1:34">
      <c r="A118" s="436" t="s">
        <v>355</v>
      </c>
      <c r="B118" s="436"/>
      <c r="C118" s="436"/>
      <c r="D118" s="436"/>
      <c r="E118" s="436"/>
      <c r="F118" s="436"/>
      <c r="G118" s="436"/>
      <c r="H118" s="436" t="s">
        <v>362</v>
      </c>
      <c r="I118" s="436"/>
      <c r="J118" s="436"/>
      <c r="K118" s="436"/>
      <c r="L118" s="436"/>
      <c r="M118" s="436"/>
      <c r="N118" s="436"/>
      <c r="O118" s="436" t="s">
        <v>70</v>
      </c>
      <c r="P118" s="436"/>
      <c r="Q118" s="436"/>
      <c r="R118" s="436" t="s">
        <v>455</v>
      </c>
      <c r="S118" s="436"/>
      <c r="T118" s="436"/>
      <c r="U118" s="436"/>
      <c r="V118" s="563">
        <v>1.1499999999999999</v>
      </c>
      <c r="W118" s="563"/>
      <c r="X118" s="563"/>
      <c r="Y118" s="563"/>
    </row>
    <row r="119" spans="1:34">
      <c r="A119" s="436" t="s">
        <v>361</v>
      </c>
      <c r="B119" s="436"/>
      <c r="C119" s="436"/>
      <c r="D119" s="436"/>
      <c r="E119" s="436"/>
      <c r="F119" s="436"/>
      <c r="G119" s="436"/>
      <c r="H119" s="436"/>
      <c r="I119" s="436"/>
      <c r="J119" s="436"/>
      <c r="K119" s="436"/>
      <c r="L119" s="436"/>
      <c r="M119" s="436"/>
      <c r="N119" s="436"/>
      <c r="O119" s="436" t="s">
        <v>354</v>
      </c>
      <c r="P119" s="436"/>
      <c r="Q119" s="436"/>
      <c r="R119" s="436" t="s">
        <v>455</v>
      </c>
      <c r="S119" s="436"/>
      <c r="T119" s="436"/>
      <c r="U119" s="436"/>
      <c r="V119" s="568">
        <f>0.265*V116/1000+(V118-1)*V117</f>
        <v>1.2232812499999999</v>
      </c>
      <c r="W119" s="568"/>
      <c r="X119" s="568"/>
      <c r="Y119" s="568"/>
    </row>
    <row r="121" spans="1:34">
      <c r="A121" s="564" t="s">
        <v>366</v>
      </c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64"/>
      <c r="P121" s="564"/>
      <c r="Q121" s="564"/>
      <c r="R121" s="564"/>
      <c r="S121" s="564"/>
      <c r="T121" s="564"/>
      <c r="U121" s="564"/>
      <c r="V121" s="564"/>
      <c r="W121" s="564"/>
      <c r="X121" s="564"/>
      <c r="Y121" s="564"/>
    </row>
    <row r="122" spans="1:34">
      <c r="A122" s="436" t="s">
        <v>348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 t="s">
        <v>345</v>
      </c>
      <c r="P122" s="436"/>
      <c r="Q122" s="436"/>
      <c r="R122" s="436" t="s">
        <v>350</v>
      </c>
      <c r="S122" s="436"/>
      <c r="T122" s="436"/>
      <c r="U122" s="436"/>
      <c r="V122" s="563">
        <v>3125</v>
      </c>
      <c r="W122" s="563"/>
      <c r="X122" s="563"/>
      <c r="Y122" s="563"/>
    </row>
    <row r="123" spans="1:34">
      <c r="A123" s="436" t="s">
        <v>360</v>
      </c>
      <c r="B123" s="436"/>
      <c r="C123" s="436"/>
      <c r="D123" s="436"/>
      <c r="E123" s="436"/>
      <c r="F123" s="436"/>
      <c r="G123" s="436"/>
      <c r="H123" s="436"/>
      <c r="I123" s="436"/>
      <c r="J123" s="436"/>
      <c r="K123" s="436"/>
      <c r="L123" s="436"/>
      <c r="M123" s="436"/>
      <c r="N123" s="436"/>
      <c r="O123" s="436" t="s">
        <v>347</v>
      </c>
      <c r="P123" s="436"/>
      <c r="Q123" s="436"/>
      <c r="R123" s="436" t="s">
        <v>455</v>
      </c>
      <c r="S123" s="436"/>
      <c r="T123" s="436"/>
      <c r="U123" s="436"/>
      <c r="V123" s="568">
        <f>0.241*V122/1000+0.5</f>
        <v>1.253125</v>
      </c>
      <c r="W123" s="568"/>
      <c r="X123" s="568"/>
      <c r="Y123" s="568"/>
    </row>
    <row r="124" spans="1:34">
      <c r="A124" s="436" t="s">
        <v>355</v>
      </c>
      <c r="B124" s="436"/>
      <c r="C124" s="436"/>
      <c r="D124" s="436"/>
      <c r="E124" s="436"/>
      <c r="F124" s="436"/>
      <c r="G124" s="436"/>
      <c r="H124" s="436" t="s">
        <v>363</v>
      </c>
      <c r="I124" s="436"/>
      <c r="J124" s="436"/>
      <c r="K124" s="436"/>
      <c r="L124" s="436"/>
      <c r="M124" s="436"/>
      <c r="N124" s="436"/>
      <c r="O124" s="436" t="s">
        <v>70</v>
      </c>
      <c r="P124" s="436"/>
      <c r="Q124" s="436"/>
      <c r="R124" s="436" t="s">
        <v>455</v>
      </c>
      <c r="S124" s="436"/>
      <c r="T124" s="436"/>
      <c r="U124" s="436"/>
      <c r="V124" s="563">
        <v>1.2</v>
      </c>
      <c r="W124" s="563"/>
      <c r="X124" s="563"/>
      <c r="Y124" s="563"/>
    </row>
    <row r="125" spans="1:34">
      <c r="A125" s="436" t="s">
        <v>361</v>
      </c>
      <c r="B125" s="436"/>
      <c r="C125" s="436"/>
      <c r="D125" s="436"/>
      <c r="E125" s="436"/>
      <c r="F125" s="436"/>
      <c r="G125" s="436"/>
      <c r="H125" s="436"/>
      <c r="I125" s="436"/>
      <c r="J125" s="436"/>
      <c r="K125" s="436"/>
      <c r="L125" s="436"/>
      <c r="M125" s="436"/>
      <c r="N125" s="436"/>
      <c r="O125" s="436" t="s">
        <v>354</v>
      </c>
      <c r="P125" s="436"/>
      <c r="Q125" s="436"/>
      <c r="R125" s="436" t="s">
        <v>455</v>
      </c>
      <c r="S125" s="436"/>
      <c r="T125" s="436"/>
      <c r="U125" s="436"/>
      <c r="V125" s="568">
        <f>0.213*V122/1000+1.65+(V124-1)*V123</f>
        <v>2.5662499999999997</v>
      </c>
      <c r="W125" s="568"/>
      <c r="X125" s="568"/>
      <c r="Y125" s="568"/>
    </row>
    <row r="127" spans="1:34">
      <c r="A127" s="564" t="s">
        <v>367</v>
      </c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64"/>
      <c r="P127" s="564"/>
      <c r="Q127" s="564"/>
      <c r="R127" s="564"/>
      <c r="S127" s="564"/>
      <c r="T127" s="564"/>
      <c r="U127" s="564"/>
      <c r="V127" s="564"/>
      <c r="W127" s="564"/>
      <c r="X127" s="564"/>
      <c r="Y127" s="564"/>
    </row>
    <row r="128" spans="1:34">
      <c r="A128" s="436" t="s">
        <v>348</v>
      </c>
      <c r="B128" s="436"/>
      <c r="C128" s="436"/>
      <c r="D128" s="436"/>
      <c r="E128" s="436"/>
      <c r="F128" s="436"/>
      <c r="G128" s="436"/>
      <c r="H128" s="436"/>
      <c r="I128" s="436"/>
      <c r="J128" s="436"/>
      <c r="K128" s="436"/>
      <c r="L128" s="436"/>
      <c r="M128" s="436"/>
      <c r="N128" s="436"/>
      <c r="O128" s="436" t="s">
        <v>345</v>
      </c>
      <c r="P128" s="436"/>
      <c r="Q128" s="436"/>
      <c r="R128" s="436" t="s">
        <v>350</v>
      </c>
      <c r="S128" s="436"/>
      <c r="T128" s="436"/>
      <c r="U128" s="436"/>
      <c r="V128" s="563">
        <v>3125</v>
      </c>
      <c r="W128" s="563"/>
      <c r="X128" s="563"/>
      <c r="Y128" s="563"/>
    </row>
    <row r="129" spans="1:25">
      <c r="A129" s="439" t="s">
        <v>368</v>
      </c>
      <c r="B129" s="440"/>
      <c r="C129" s="440"/>
      <c r="D129" s="440"/>
      <c r="E129" s="440"/>
      <c r="F129" s="440"/>
      <c r="G129" s="441"/>
      <c r="H129" s="439"/>
      <c r="I129" s="440"/>
      <c r="J129" s="440"/>
      <c r="K129" s="440"/>
      <c r="L129" s="440"/>
      <c r="M129" s="440"/>
      <c r="N129" s="441"/>
      <c r="O129" s="439" t="s">
        <v>627</v>
      </c>
      <c r="P129" s="440"/>
      <c r="Q129" s="441"/>
      <c r="R129" s="439"/>
      <c r="S129" s="440"/>
      <c r="T129" s="440"/>
      <c r="U129" s="441"/>
      <c r="V129" s="569"/>
      <c r="W129" s="570"/>
      <c r="X129" s="570"/>
      <c r="Y129" s="571"/>
    </row>
    <row r="130" spans="1:25">
      <c r="A130" s="436" t="s">
        <v>360</v>
      </c>
      <c r="B130" s="436"/>
      <c r="C130" s="436"/>
      <c r="D130" s="436"/>
      <c r="E130" s="436"/>
      <c r="F130" s="436"/>
      <c r="G130" s="436"/>
      <c r="H130" s="436"/>
      <c r="I130" s="436"/>
      <c r="J130" s="436"/>
      <c r="K130" s="436"/>
      <c r="L130" s="436"/>
      <c r="M130" s="436"/>
      <c r="N130" s="436"/>
      <c r="O130" s="436" t="s">
        <v>347</v>
      </c>
      <c r="P130" s="436"/>
      <c r="Q130" s="436"/>
      <c r="R130" s="436" t="s">
        <v>455</v>
      </c>
      <c r="S130" s="436"/>
      <c r="T130" s="436"/>
      <c r="U130" s="436"/>
      <c r="V130" s="568">
        <f>0.256*V128/1000+0.007*V129-0.06</f>
        <v>0.74</v>
      </c>
      <c r="W130" s="568"/>
      <c r="X130" s="568"/>
      <c r="Y130" s="568"/>
    </row>
    <row r="131" spans="1:25">
      <c r="A131" s="436" t="s">
        <v>355</v>
      </c>
      <c r="B131" s="436"/>
      <c r="C131" s="436"/>
      <c r="D131" s="436"/>
      <c r="E131" s="436"/>
      <c r="F131" s="436"/>
      <c r="G131" s="436"/>
      <c r="H131" s="436" t="s">
        <v>363</v>
      </c>
      <c r="I131" s="436"/>
      <c r="J131" s="436"/>
      <c r="K131" s="436"/>
      <c r="L131" s="436"/>
      <c r="M131" s="436"/>
      <c r="N131" s="436"/>
      <c r="O131" s="436" t="s">
        <v>70</v>
      </c>
      <c r="P131" s="436"/>
      <c r="Q131" s="436"/>
      <c r="R131" s="436" t="s">
        <v>455</v>
      </c>
      <c r="S131" s="436"/>
      <c r="T131" s="436"/>
      <c r="U131" s="436"/>
      <c r="V131" s="563">
        <v>1.2</v>
      </c>
      <c r="W131" s="563"/>
      <c r="X131" s="563"/>
      <c r="Y131" s="563"/>
    </row>
    <row r="132" spans="1:25">
      <c r="A132" s="439" t="s">
        <v>370</v>
      </c>
      <c r="B132" s="440"/>
      <c r="C132" s="440"/>
      <c r="D132" s="440"/>
      <c r="E132" s="440"/>
      <c r="F132" s="440"/>
      <c r="G132" s="441"/>
      <c r="H132" s="439"/>
      <c r="I132" s="440"/>
      <c r="J132" s="440"/>
      <c r="K132" s="440"/>
      <c r="L132" s="440"/>
      <c r="M132" s="440"/>
      <c r="N132" s="441"/>
      <c r="O132" s="439" t="s">
        <v>369</v>
      </c>
      <c r="P132" s="440"/>
      <c r="Q132" s="441"/>
      <c r="R132" s="439"/>
      <c r="S132" s="440"/>
      <c r="T132" s="440"/>
      <c r="U132" s="441"/>
      <c r="V132" s="569"/>
      <c r="W132" s="570"/>
      <c r="X132" s="570"/>
      <c r="Y132" s="571"/>
    </row>
    <row r="133" spans="1:25">
      <c r="A133" s="436" t="s">
        <v>361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 t="s">
        <v>354</v>
      </c>
      <c r="P133" s="436"/>
      <c r="Q133" s="436"/>
      <c r="R133" s="436" t="s">
        <v>455</v>
      </c>
      <c r="S133" s="436"/>
      <c r="T133" s="436"/>
      <c r="U133" s="436"/>
      <c r="V133" s="568">
        <f>0.227*V128/1000+1.09+0.007*V132+(V131-1)*V130</f>
        <v>1.9473749999999999</v>
      </c>
      <c r="W133" s="568"/>
      <c r="X133" s="568"/>
      <c r="Y133" s="568"/>
    </row>
  </sheetData>
  <mergeCells count="451">
    <mergeCell ref="V133:Y133"/>
    <mergeCell ref="A132:G132"/>
    <mergeCell ref="O132:Q132"/>
    <mergeCell ref="H132:N132"/>
    <mergeCell ref="R132:U132"/>
    <mergeCell ref="V132:Y132"/>
    <mergeCell ref="A133:G133"/>
    <mergeCell ref="H133:N133"/>
    <mergeCell ref="O133:Q133"/>
    <mergeCell ref="R133:U133"/>
    <mergeCell ref="A131:G131"/>
    <mergeCell ref="H131:N131"/>
    <mergeCell ref="O131:Q131"/>
    <mergeCell ref="R131:U131"/>
    <mergeCell ref="V131:Y131"/>
    <mergeCell ref="A130:G130"/>
    <mergeCell ref="H130:N130"/>
    <mergeCell ref="O130:Q130"/>
    <mergeCell ref="A97:Y97"/>
    <mergeCell ref="O128:Q128"/>
    <mergeCell ref="R128:U128"/>
    <mergeCell ref="V128:Y128"/>
    <mergeCell ref="A125:G125"/>
    <mergeCell ref="H125:N125"/>
    <mergeCell ref="V130:Y130"/>
    <mergeCell ref="O124:Q124"/>
    <mergeCell ref="R124:U124"/>
    <mergeCell ref="O125:Q125"/>
    <mergeCell ref="R125:U125"/>
    <mergeCell ref="V123:Y123"/>
    <mergeCell ref="A124:G124"/>
    <mergeCell ref="H124:N124"/>
    <mergeCell ref="V124:Y124"/>
    <mergeCell ref="A123:G123"/>
    <mergeCell ref="H123:N123"/>
    <mergeCell ref="R130:U130"/>
    <mergeCell ref="V125:Y125"/>
    <mergeCell ref="A127:Y127"/>
    <mergeCell ref="A128:G128"/>
    <mergeCell ref="H128:N128"/>
    <mergeCell ref="O123:Q123"/>
    <mergeCell ref="R123:U123"/>
    <mergeCell ref="V119:Y119"/>
    <mergeCell ref="A121:Y121"/>
    <mergeCell ref="A122:G122"/>
    <mergeCell ref="H122:N122"/>
    <mergeCell ref="O122:Q122"/>
    <mergeCell ref="R122:U122"/>
    <mergeCell ref="V122:Y122"/>
    <mergeCell ref="A119:G119"/>
    <mergeCell ref="A129:G129"/>
    <mergeCell ref="H129:N129"/>
    <mergeCell ref="O129:Q129"/>
    <mergeCell ref="R129:U129"/>
    <mergeCell ref="V129:Y129"/>
    <mergeCell ref="A118:G118"/>
    <mergeCell ref="H118:N118"/>
    <mergeCell ref="O118:Q118"/>
    <mergeCell ref="R118:U118"/>
    <mergeCell ref="H119:N119"/>
    <mergeCell ref="O119:Q119"/>
    <mergeCell ref="R119:U119"/>
    <mergeCell ref="V117:Y117"/>
    <mergeCell ref="V118:Y118"/>
    <mergeCell ref="A115:Y115"/>
    <mergeCell ref="A116:G116"/>
    <mergeCell ref="H116:N116"/>
    <mergeCell ref="O116:Q116"/>
    <mergeCell ref="R116:U116"/>
    <mergeCell ref="V116:Y116"/>
    <mergeCell ref="R113:U113"/>
    <mergeCell ref="A117:G117"/>
    <mergeCell ref="O117:Q117"/>
    <mergeCell ref="R117:U117"/>
    <mergeCell ref="H117:N117"/>
    <mergeCell ref="H110:N110"/>
    <mergeCell ref="O110:Q110"/>
    <mergeCell ref="R110:U110"/>
    <mergeCell ref="V110:Y110"/>
    <mergeCell ref="A111:G111"/>
    <mergeCell ref="A112:G113"/>
    <mergeCell ref="H113:N113"/>
    <mergeCell ref="O113:Q113"/>
    <mergeCell ref="V111:Y111"/>
    <mergeCell ref="H112:N112"/>
    <mergeCell ref="O112:Q112"/>
    <mergeCell ref="R112:U112"/>
    <mergeCell ref="V112:Y112"/>
    <mergeCell ref="H111:N111"/>
    <mergeCell ref="O111:Q111"/>
    <mergeCell ref="R111:U111"/>
    <mergeCell ref="V113:Y113"/>
    <mergeCell ref="H108:N108"/>
    <mergeCell ref="O108:Q108"/>
    <mergeCell ref="R108:U108"/>
    <mergeCell ref="R103:U103"/>
    <mergeCell ref="V108:Y108"/>
    <mergeCell ref="H104:N104"/>
    <mergeCell ref="H105:N105"/>
    <mergeCell ref="R104:U104"/>
    <mergeCell ref="R105:U105"/>
    <mergeCell ref="V104:Y104"/>
    <mergeCell ref="V105:Y105"/>
    <mergeCell ref="O105:Q105"/>
    <mergeCell ref="R101:U101"/>
    <mergeCell ref="R102:U102"/>
    <mergeCell ref="V101:Y101"/>
    <mergeCell ref="V102:Y102"/>
    <mergeCell ref="O101:Q101"/>
    <mergeCell ref="O100:Q100"/>
    <mergeCell ref="O102:Q102"/>
    <mergeCell ref="A109:G110"/>
    <mergeCell ref="H109:N109"/>
    <mergeCell ref="O109:Q109"/>
    <mergeCell ref="O104:Q104"/>
    <mergeCell ref="A104:G105"/>
    <mergeCell ref="A101:G102"/>
    <mergeCell ref="H101:N101"/>
    <mergeCell ref="H102:N102"/>
    <mergeCell ref="R109:U109"/>
    <mergeCell ref="A103:G103"/>
    <mergeCell ref="O103:Q103"/>
    <mergeCell ref="H100:N100"/>
    <mergeCell ref="V109:Y109"/>
    <mergeCell ref="V103:Y103"/>
    <mergeCell ref="H103:N103"/>
    <mergeCell ref="A107:Y107"/>
    <mergeCell ref="A108:G108"/>
    <mergeCell ref="AF59:AI59"/>
    <mergeCell ref="AJ59:AN59"/>
    <mergeCell ref="G58:AB58"/>
    <mergeCell ref="AC58:AE58"/>
    <mergeCell ref="G60:AB60"/>
    <mergeCell ref="AC60:AE60"/>
    <mergeCell ref="AF60:AI60"/>
    <mergeCell ref="R100:U100"/>
    <mergeCell ref="V100:Y100"/>
    <mergeCell ref="A100:G100"/>
    <mergeCell ref="A99:Y99"/>
    <mergeCell ref="AF58:AI58"/>
    <mergeCell ref="G59:AB59"/>
    <mergeCell ref="AC59:AE59"/>
    <mergeCell ref="AJ60:AN60"/>
    <mergeCell ref="AJ80:AN80"/>
    <mergeCell ref="AJ78:AN78"/>
    <mergeCell ref="AC85:AE85"/>
    <mergeCell ref="AF85:AI85"/>
    <mergeCell ref="AJ91:AN91"/>
    <mergeCell ref="AC87:AE91"/>
    <mergeCell ref="AF87:AI91"/>
    <mergeCell ref="AJ88:AN88"/>
    <mergeCell ref="AJ89:AN89"/>
    <mergeCell ref="AJ93:AN93"/>
    <mergeCell ref="AJ87:AN87"/>
    <mergeCell ref="AC94:AE94"/>
    <mergeCell ref="AF94:AI94"/>
    <mergeCell ref="AJ94:AN94"/>
    <mergeCell ref="AJ92:AN92"/>
    <mergeCell ref="G93:AB93"/>
    <mergeCell ref="G94:AB94"/>
    <mergeCell ref="G86:AB86"/>
    <mergeCell ref="G87:AB91"/>
    <mergeCell ref="AJ86:AN86"/>
    <mergeCell ref="AC92:AE92"/>
    <mergeCell ref="AF92:AI92"/>
    <mergeCell ref="G54:AB54"/>
    <mergeCell ref="AC54:AE54"/>
    <mergeCell ref="AF54:AI54"/>
    <mergeCell ref="AJ54:AN54"/>
    <mergeCell ref="AJ58:AN58"/>
    <mergeCell ref="G55:AB55"/>
    <mergeCell ref="AC55:AE55"/>
    <mergeCell ref="AF55:AI55"/>
    <mergeCell ref="AJ55:AN55"/>
    <mergeCell ref="G56:AB56"/>
    <mergeCell ref="AC56:AE56"/>
    <mergeCell ref="AF56:AI56"/>
    <mergeCell ref="AJ56:AN56"/>
    <mergeCell ref="G57:AB57"/>
    <mergeCell ref="AC57:AE57"/>
    <mergeCell ref="AF57:AI57"/>
    <mergeCell ref="AJ57:AN57"/>
    <mergeCell ref="G51:AB51"/>
    <mergeCell ref="AC51:AE51"/>
    <mergeCell ref="AF51:AI51"/>
    <mergeCell ref="AJ51:AN51"/>
    <mergeCell ref="G52:AB52"/>
    <mergeCell ref="AC52:AE52"/>
    <mergeCell ref="AF52:AI52"/>
    <mergeCell ref="AJ52:AN52"/>
    <mergeCell ref="AF53:AI53"/>
    <mergeCell ref="AJ53:AN53"/>
    <mergeCell ref="G53:AB53"/>
    <mergeCell ref="AC53:AE53"/>
    <mergeCell ref="G50:AB50"/>
    <mergeCell ref="AC50:AE50"/>
    <mergeCell ref="AF50:AI50"/>
    <mergeCell ref="AJ50:AN50"/>
    <mergeCell ref="G46:AB46"/>
    <mergeCell ref="AC46:AE46"/>
    <mergeCell ref="AF46:AI46"/>
    <mergeCell ref="AJ46:AN46"/>
    <mergeCell ref="G47:AB47"/>
    <mergeCell ref="AC47:AE47"/>
    <mergeCell ref="G45:AB45"/>
    <mergeCell ref="AC45:AE45"/>
    <mergeCell ref="AF45:AI45"/>
    <mergeCell ref="AJ45:AN45"/>
    <mergeCell ref="G49:AB49"/>
    <mergeCell ref="AC49:AE49"/>
    <mergeCell ref="AF49:AI49"/>
    <mergeCell ref="AJ49:AN49"/>
    <mergeCell ref="AF47:AI47"/>
    <mergeCell ref="AJ47:AN47"/>
    <mergeCell ref="G48:AB48"/>
    <mergeCell ref="AC48:AE48"/>
    <mergeCell ref="AF48:AI48"/>
    <mergeCell ref="AJ48:AN48"/>
    <mergeCell ref="G43:AB43"/>
    <mergeCell ref="AC43:AE43"/>
    <mergeCell ref="AF43:AI43"/>
    <mergeCell ref="AJ43:AN43"/>
    <mergeCell ref="G42:AB42"/>
    <mergeCell ref="AC42:AE42"/>
    <mergeCell ref="AF42:AI42"/>
    <mergeCell ref="AJ42:AN42"/>
    <mergeCell ref="G44:AB44"/>
    <mergeCell ref="AC44:AE44"/>
    <mergeCell ref="AF44:AI44"/>
    <mergeCell ref="AJ44:AN44"/>
    <mergeCell ref="AC34:AE34"/>
    <mergeCell ref="AF34:AI34"/>
    <mergeCell ref="AJ34:AN34"/>
    <mergeCell ref="G36:AB36"/>
    <mergeCell ref="AC36:AE36"/>
    <mergeCell ref="G35:AB35"/>
    <mergeCell ref="AC35:AE35"/>
    <mergeCell ref="AF35:AI35"/>
    <mergeCell ref="AJ35:AN35"/>
    <mergeCell ref="AF36:AI36"/>
    <mergeCell ref="AJ36:AN36"/>
    <mergeCell ref="AJ33:AN33"/>
    <mergeCell ref="G32:AB32"/>
    <mergeCell ref="AC32:AE32"/>
    <mergeCell ref="G41:AB41"/>
    <mergeCell ref="AC41:AE41"/>
    <mergeCell ref="AF41:AI41"/>
    <mergeCell ref="AJ41:AN41"/>
    <mergeCell ref="G40:AB40"/>
    <mergeCell ref="AC40:AE40"/>
    <mergeCell ref="AF40:AI40"/>
    <mergeCell ref="AJ40:AN40"/>
    <mergeCell ref="G39:AB39"/>
    <mergeCell ref="AC39:AE39"/>
    <mergeCell ref="AF39:AI39"/>
    <mergeCell ref="AJ39:AN39"/>
    <mergeCell ref="G38:AB38"/>
    <mergeCell ref="AC38:AE38"/>
    <mergeCell ref="AF38:AI38"/>
    <mergeCell ref="AJ38:AN38"/>
    <mergeCell ref="G37:AB37"/>
    <mergeCell ref="AC37:AE37"/>
    <mergeCell ref="AF37:AI37"/>
    <mergeCell ref="AJ37:AN37"/>
    <mergeCell ref="G34:AB34"/>
    <mergeCell ref="E4:O4"/>
    <mergeCell ref="G5:I5"/>
    <mergeCell ref="J5:K5"/>
    <mergeCell ref="L5:M5"/>
    <mergeCell ref="N5:P5"/>
    <mergeCell ref="L6:M6"/>
    <mergeCell ref="N6:P6"/>
    <mergeCell ref="G6:I6"/>
    <mergeCell ref="J6:K6"/>
    <mergeCell ref="Q5:S5"/>
    <mergeCell ref="T5:V5"/>
    <mergeCell ref="W5:Z5"/>
    <mergeCell ref="AA5:AC5"/>
    <mergeCell ref="AA6:AC6"/>
    <mergeCell ref="AD6:AF6"/>
    <mergeCell ref="G12:AB12"/>
    <mergeCell ref="AJ12:AN12"/>
    <mergeCell ref="AG8:AI8"/>
    <mergeCell ref="L9:M9"/>
    <mergeCell ref="N9:P9"/>
    <mergeCell ref="AM9:AO9"/>
    <mergeCell ref="Q9:S9"/>
    <mergeCell ref="AA9:AC9"/>
    <mergeCell ref="Q6:S6"/>
    <mergeCell ref="T6:V6"/>
    <mergeCell ref="W6:Z6"/>
    <mergeCell ref="G10:I10"/>
    <mergeCell ref="G9:I9"/>
    <mergeCell ref="J9:K9"/>
    <mergeCell ref="Q7:S7"/>
    <mergeCell ref="T7:V7"/>
    <mergeCell ref="T9:V9"/>
    <mergeCell ref="W9:Z9"/>
    <mergeCell ref="AJ15:AN15"/>
    <mergeCell ref="AJ14:AN14"/>
    <mergeCell ref="AF12:AI12"/>
    <mergeCell ref="AC12:AE12"/>
    <mergeCell ref="AC13:AE13"/>
    <mergeCell ref="W7:Z7"/>
    <mergeCell ref="AP8:AX8"/>
    <mergeCell ref="AG5:AI5"/>
    <mergeCell ref="AJ5:AL5"/>
    <mergeCell ref="AD9:AF9"/>
    <mergeCell ref="AG9:AI9"/>
    <mergeCell ref="AP5:AR5"/>
    <mergeCell ref="AM6:AO6"/>
    <mergeCell ref="AP6:AR6"/>
    <mergeCell ref="AJ7:AL7"/>
    <mergeCell ref="AM7:AO7"/>
    <mergeCell ref="AJ9:AL9"/>
    <mergeCell ref="AJ8:AL8"/>
    <mergeCell ref="AM8:AO8"/>
    <mergeCell ref="AG6:AI6"/>
    <mergeCell ref="AJ6:AL6"/>
    <mergeCell ref="AM5:AO5"/>
    <mergeCell ref="G22:AB22"/>
    <mergeCell ref="AC22:AE22"/>
    <mergeCell ref="AF22:AI22"/>
    <mergeCell ref="G27:AB27"/>
    <mergeCell ref="AC27:AE27"/>
    <mergeCell ref="AF27:AI27"/>
    <mergeCell ref="AC80:AE80"/>
    <mergeCell ref="AF80:AI80"/>
    <mergeCell ref="AJ28:AN28"/>
    <mergeCell ref="AJ27:AN27"/>
    <mergeCell ref="AJ26:AN26"/>
    <mergeCell ref="AF31:AI31"/>
    <mergeCell ref="AJ31:AN31"/>
    <mergeCell ref="G79:AB79"/>
    <mergeCell ref="G30:AB30"/>
    <mergeCell ref="AC30:AE30"/>
    <mergeCell ref="AF30:AI30"/>
    <mergeCell ref="G28:AB28"/>
    <mergeCell ref="G29:AB29"/>
    <mergeCell ref="AF32:AI32"/>
    <mergeCell ref="AJ32:AN32"/>
    <mergeCell ref="G33:AB33"/>
    <mergeCell ref="AC33:AE33"/>
    <mergeCell ref="AF33:AI33"/>
    <mergeCell ref="C2:S2"/>
    <mergeCell ref="G78:AB78"/>
    <mergeCell ref="AC78:AE78"/>
    <mergeCell ref="AF78:AI78"/>
    <mergeCell ref="AC23:AE23"/>
    <mergeCell ref="AF23:AI23"/>
    <mergeCell ref="G25:AB25"/>
    <mergeCell ref="AC25:AE25"/>
    <mergeCell ref="W8:Z8"/>
    <mergeCell ref="AA8:AC8"/>
    <mergeCell ref="AF25:AI25"/>
    <mergeCell ref="G24:AB24"/>
    <mergeCell ref="AC24:AE24"/>
    <mergeCell ref="AF24:AI24"/>
    <mergeCell ref="G23:AB23"/>
    <mergeCell ref="AC29:AE29"/>
    <mergeCell ref="AF29:AI29"/>
    <mergeCell ref="G26:AB26"/>
    <mergeCell ref="AC26:AE26"/>
    <mergeCell ref="AF26:AI26"/>
    <mergeCell ref="AC28:AE28"/>
    <mergeCell ref="AF28:AI28"/>
    <mergeCell ref="G31:AB31"/>
    <mergeCell ref="AC31:AE31"/>
    <mergeCell ref="AT81:BB81"/>
    <mergeCell ref="AT82:BB82"/>
    <mergeCell ref="AT83:BB83"/>
    <mergeCell ref="AT84:BB84"/>
    <mergeCell ref="AJ84:AN84"/>
    <mergeCell ref="AC81:AE84"/>
    <mergeCell ref="AF81:AI84"/>
    <mergeCell ref="AJ81:AN81"/>
    <mergeCell ref="AJ85:AN85"/>
    <mergeCell ref="AJ82:AN82"/>
    <mergeCell ref="AJ83:AN83"/>
    <mergeCell ref="AT79:CG79"/>
    <mergeCell ref="AE1:AO1"/>
    <mergeCell ref="AE2:AO2"/>
    <mergeCell ref="AE3:AO3"/>
    <mergeCell ref="AJ22:AN22"/>
    <mergeCell ref="AJ21:AN21"/>
    <mergeCell ref="AJ17:AN17"/>
    <mergeCell ref="AJ16:AN16"/>
    <mergeCell ref="AD8:AF8"/>
    <mergeCell ref="AJ20:AN20"/>
    <mergeCell ref="AC79:AE79"/>
    <mergeCell ref="AF79:AI79"/>
    <mergeCell ref="AJ79:AN79"/>
    <mergeCell ref="AJ25:AN25"/>
    <mergeCell ref="AJ24:AN24"/>
    <mergeCell ref="AC19:AE19"/>
    <mergeCell ref="AF19:AI19"/>
    <mergeCell ref="AJ30:AN30"/>
    <mergeCell ref="AC20:AE20"/>
    <mergeCell ref="AF20:AI20"/>
    <mergeCell ref="AC14:AE14"/>
    <mergeCell ref="AJ29:AN29"/>
    <mergeCell ref="AD5:AF5"/>
    <mergeCell ref="AJ13:AN13"/>
    <mergeCell ref="G8:I8"/>
    <mergeCell ref="J8:K8"/>
    <mergeCell ref="L8:M8"/>
    <mergeCell ref="G81:AB84"/>
    <mergeCell ref="G85:AB85"/>
    <mergeCell ref="G92:AB92"/>
    <mergeCell ref="G80:AB80"/>
    <mergeCell ref="AC86:AE86"/>
    <mergeCell ref="AF86:AI86"/>
    <mergeCell ref="AC15:AE15"/>
    <mergeCell ref="AF13:AI13"/>
    <mergeCell ref="AF14:AI14"/>
    <mergeCell ref="AF16:AI16"/>
    <mergeCell ref="AC17:AE17"/>
    <mergeCell ref="AF17:AI17"/>
    <mergeCell ref="AF18:AI18"/>
    <mergeCell ref="G16:AB16"/>
    <mergeCell ref="G17:AB17"/>
    <mergeCell ref="G18:AB18"/>
    <mergeCell ref="AC16:AE16"/>
    <mergeCell ref="AC18:AE18"/>
    <mergeCell ref="G21:AB21"/>
    <mergeCell ref="AC21:AE21"/>
    <mergeCell ref="AF21:AI21"/>
    <mergeCell ref="N8:P8"/>
    <mergeCell ref="AJ23:AN23"/>
    <mergeCell ref="G20:AB20"/>
    <mergeCell ref="AC93:AE93"/>
    <mergeCell ref="AF93:AI93"/>
    <mergeCell ref="AJ90:AN90"/>
    <mergeCell ref="AP7:AX7"/>
    <mergeCell ref="AJ18:AN18"/>
    <mergeCell ref="AJ19:AN19"/>
    <mergeCell ref="J10:AR10"/>
    <mergeCell ref="AA7:AC7"/>
    <mergeCell ref="AD7:AF7"/>
    <mergeCell ref="AG7:AI7"/>
    <mergeCell ref="Q8:S8"/>
    <mergeCell ref="T8:V8"/>
    <mergeCell ref="G19:AB19"/>
    <mergeCell ref="G14:AB14"/>
    <mergeCell ref="G15:AB15"/>
    <mergeCell ref="AF15:AI15"/>
    <mergeCell ref="G13:AB13"/>
    <mergeCell ref="G7:I7"/>
    <mergeCell ref="J7:K7"/>
    <mergeCell ref="L7:M7"/>
    <mergeCell ref="N7:P7"/>
  </mergeCells>
  <phoneticPr fontId="3" type="noConversion"/>
  <pageMargins left="0.75" right="0.75" top="1" bottom="1" header="0.5" footer="0.5"/>
  <pageSetup paperSize="9" orientation="portrait" horizontalDpi="96" verticalDpi="96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I149"/>
  <sheetViews>
    <sheetView topLeftCell="E34" zoomScale="115" workbookViewId="0">
      <selection activeCell="F32" sqref="F32"/>
    </sheetView>
  </sheetViews>
  <sheetFormatPr defaultRowHeight="14.25"/>
  <cols>
    <col min="1" max="1" width="9" style="1"/>
    <col min="2" max="2" width="21.125" style="1" customWidth="1"/>
    <col min="3" max="3" width="9" style="1"/>
    <col min="4" max="4" width="6" style="1" customWidth="1"/>
    <col min="5" max="5" width="47.125" style="1" customWidth="1"/>
    <col min="6" max="6" width="9.5" style="1" customWidth="1"/>
    <col min="7" max="7" width="19.125" style="1" customWidth="1"/>
    <col min="8" max="8" width="19" style="1" customWidth="1"/>
    <col min="9" max="9" width="23.125" style="1" customWidth="1"/>
    <col min="10" max="16384" width="9" style="1"/>
  </cols>
  <sheetData>
    <row r="1" spans="1:9">
      <c r="A1" s="19" t="s">
        <v>592</v>
      </c>
      <c r="F1" s="21" t="s">
        <v>596</v>
      </c>
      <c r="G1" s="21" t="s">
        <v>597</v>
      </c>
    </row>
    <row r="2" spans="1:9">
      <c r="A2" s="10" t="s">
        <v>321</v>
      </c>
      <c r="B2" s="22" t="s">
        <v>221</v>
      </c>
      <c r="C2" s="22" t="s">
        <v>334</v>
      </c>
      <c r="D2" s="22" t="s">
        <v>435</v>
      </c>
      <c r="E2" s="22"/>
      <c r="F2" s="23">
        <v>20</v>
      </c>
      <c r="G2" s="23">
        <v>20</v>
      </c>
      <c r="H2" s="203" t="s">
        <v>1244</v>
      </c>
    </row>
    <row r="3" spans="1:9" ht="18.75">
      <c r="A3" s="10" t="s">
        <v>295</v>
      </c>
      <c r="B3" s="22" t="s">
        <v>222</v>
      </c>
      <c r="C3" s="22" t="s">
        <v>223</v>
      </c>
      <c r="D3" s="22" t="s">
        <v>224</v>
      </c>
      <c r="E3" s="22"/>
      <c r="F3" s="23">
        <f>1800000000/360/24</f>
        <v>208333.33333333334</v>
      </c>
      <c r="G3" s="23">
        <v>264000</v>
      </c>
      <c r="H3" s="203" t="s">
        <v>1245</v>
      </c>
    </row>
    <row r="4" spans="1:9" ht="18.75">
      <c r="A4" s="10" t="s">
        <v>296</v>
      </c>
      <c r="B4" s="22" t="s">
        <v>440</v>
      </c>
      <c r="C4" s="22" t="s">
        <v>225</v>
      </c>
      <c r="D4" s="22" t="s">
        <v>226</v>
      </c>
      <c r="E4" s="22"/>
      <c r="F4" s="22">
        <v>87850</v>
      </c>
      <c r="G4" s="22">
        <v>87850</v>
      </c>
      <c r="H4" s="203" t="s">
        <v>1246</v>
      </c>
    </row>
    <row r="5" spans="1:9" ht="18.75">
      <c r="A5" s="10" t="s">
        <v>297</v>
      </c>
      <c r="B5" s="22" t="s">
        <v>227</v>
      </c>
      <c r="C5" s="22" t="s">
        <v>334</v>
      </c>
      <c r="D5" s="22" t="s">
        <v>228</v>
      </c>
      <c r="E5" s="22"/>
      <c r="F5" s="22">
        <v>0</v>
      </c>
      <c r="G5" s="22">
        <v>0</v>
      </c>
      <c r="H5" s="203" t="s">
        <v>1247</v>
      </c>
    </row>
    <row r="6" spans="1:9" ht="18.75">
      <c r="A6" s="10" t="s">
        <v>298</v>
      </c>
      <c r="B6" s="22" t="s">
        <v>229</v>
      </c>
      <c r="C6" s="22" t="s">
        <v>225</v>
      </c>
      <c r="D6" s="22" t="s">
        <v>230</v>
      </c>
      <c r="E6" s="22"/>
      <c r="F6" s="22">
        <v>101325</v>
      </c>
      <c r="G6" s="22">
        <v>101325</v>
      </c>
      <c r="H6" s="203" t="s">
        <v>1247</v>
      </c>
    </row>
    <row r="7" spans="1:9" ht="18.75">
      <c r="A7" s="10" t="s">
        <v>299</v>
      </c>
      <c r="B7" s="22" t="s">
        <v>231</v>
      </c>
      <c r="C7" s="22" t="s">
        <v>232</v>
      </c>
      <c r="D7" s="22" t="s">
        <v>233</v>
      </c>
      <c r="E7" s="22" t="s">
        <v>234</v>
      </c>
      <c r="F7" s="24">
        <f>F3*(F4/F6)*((F5+273)/(F2+273))</f>
        <v>168297.99524895815</v>
      </c>
      <c r="G7" s="24">
        <f>G3*(G4/G6)*((G5+273)/(G2+273))</f>
        <v>213267.21957947974</v>
      </c>
      <c r="H7" s="204" t="s">
        <v>1236</v>
      </c>
    </row>
    <row r="8" spans="1:9">
      <c r="A8" s="19" t="s">
        <v>593</v>
      </c>
      <c r="F8" s="21" t="s">
        <v>596</v>
      </c>
      <c r="G8" s="21" t="s">
        <v>597</v>
      </c>
      <c r="H8" s="21" t="s">
        <v>140</v>
      </c>
    </row>
    <row r="9" spans="1:9" ht="18.75">
      <c r="A9" s="10" t="s">
        <v>321</v>
      </c>
      <c r="B9" s="22" t="s">
        <v>227</v>
      </c>
      <c r="C9" s="22" t="s">
        <v>334</v>
      </c>
      <c r="D9" s="22" t="s">
        <v>228</v>
      </c>
      <c r="E9" s="22"/>
      <c r="F9" s="22">
        <v>0</v>
      </c>
      <c r="G9" s="22">
        <v>0</v>
      </c>
      <c r="H9" s="22">
        <v>0</v>
      </c>
      <c r="I9" s="203" t="s">
        <v>1247</v>
      </c>
    </row>
    <row r="10" spans="1:9" ht="18.75">
      <c r="A10" s="10" t="s">
        <v>295</v>
      </c>
      <c r="B10" s="22" t="s">
        <v>229</v>
      </c>
      <c r="C10" s="22" t="s">
        <v>235</v>
      </c>
      <c r="D10" s="22" t="s">
        <v>230</v>
      </c>
      <c r="E10" s="22"/>
      <c r="F10" s="22">
        <v>101325</v>
      </c>
      <c r="G10" s="22">
        <v>101325</v>
      </c>
      <c r="H10" s="22">
        <v>101325</v>
      </c>
      <c r="I10" s="203" t="s">
        <v>1247</v>
      </c>
    </row>
    <row r="11" spans="1:9" ht="18.75">
      <c r="A11" s="10" t="s">
        <v>296</v>
      </c>
      <c r="B11" s="22" t="s">
        <v>231</v>
      </c>
      <c r="C11" s="22" t="s">
        <v>232</v>
      </c>
      <c r="D11" s="22" t="s">
        <v>233</v>
      </c>
      <c r="E11" s="22"/>
      <c r="F11" s="23">
        <v>88534</v>
      </c>
      <c r="G11" s="23">
        <v>204887</v>
      </c>
      <c r="H11" s="23">
        <v>16300</v>
      </c>
      <c r="I11" s="204" t="s">
        <v>1248</v>
      </c>
    </row>
    <row r="12" spans="1:9">
      <c r="A12" s="10" t="s">
        <v>297</v>
      </c>
      <c r="B12" s="22" t="s">
        <v>221</v>
      </c>
      <c r="C12" s="22" t="s">
        <v>334</v>
      </c>
      <c r="D12" s="22" t="s">
        <v>435</v>
      </c>
      <c r="E12" s="22"/>
      <c r="F12" s="23">
        <v>20</v>
      </c>
      <c r="G12" s="23">
        <v>155</v>
      </c>
      <c r="H12" s="23">
        <v>25</v>
      </c>
      <c r="I12" s="203" t="s">
        <v>1249</v>
      </c>
    </row>
    <row r="13" spans="1:9">
      <c r="A13" s="10" t="s">
        <v>298</v>
      </c>
      <c r="B13" s="22" t="s">
        <v>440</v>
      </c>
      <c r="C13" s="22" t="s">
        <v>235</v>
      </c>
      <c r="D13" s="22" t="s">
        <v>226</v>
      </c>
      <c r="E13" s="22"/>
      <c r="F13" s="22">
        <v>99000</v>
      </c>
      <c r="G13" s="22">
        <v>99000</v>
      </c>
      <c r="H13" s="22">
        <v>98000</v>
      </c>
      <c r="I13" s="203" t="s">
        <v>1246</v>
      </c>
    </row>
    <row r="14" spans="1:9" ht="18.75">
      <c r="A14" s="10" t="s">
        <v>299</v>
      </c>
      <c r="B14" s="22" t="s">
        <v>222</v>
      </c>
      <c r="C14" s="22" t="s">
        <v>223</v>
      </c>
      <c r="D14" s="22" t="s">
        <v>224</v>
      </c>
      <c r="E14" s="22" t="s">
        <v>236</v>
      </c>
      <c r="F14" s="24">
        <f>F11*(F10/F13)*((F12+273)/(F9+273))</f>
        <v>97251.53780108779</v>
      </c>
      <c r="G14" s="24">
        <f>G11*(G10/G13)*((G12+273)/(G9+273))</f>
        <v>328758.46441336442</v>
      </c>
      <c r="H14" s="24">
        <f>H11*(H10/H13)*((H12+273)/(H9+273))</f>
        <v>18396.354003139721</v>
      </c>
      <c r="I14" s="204" t="s">
        <v>1236</v>
      </c>
    </row>
    <row r="15" spans="1:9">
      <c r="A15" s="19" t="s">
        <v>594</v>
      </c>
    </row>
    <row r="16" spans="1:9">
      <c r="E16" s="14" t="s">
        <v>598</v>
      </c>
      <c r="F16" s="20">
        <v>78872</v>
      </c>
    </row>
    <row r="17" spans="1:9">
      <c r="E17" s="14" t="s">
        <v>599</v>
      </c>
      <c r="F17" s="20">
        <v>187460</v>
      </c>
    </row>
    <row r="18" spans="1:9" ht="15" customHeight="1">
      <c r="A18" s="10" t="s">
        <v>321</v>
      </c>
      <c r="B18" s="25" t="s">
        <v>292</v>
      </c>
      <c r="C18" s="25" t="s">
        <v>289</v>
      </c>
      <c r="D18" s="22" t="s">
        <v>288</v>
      </c>
      <c r="E18" s="22" t="s">
        <v>325</v>
      </c>
      <c r="F18" s="10" t="s">
        <v>326</v>
      </c>
    </row>
    <row r="19" spans="1:9">
      <c r="A19" s="10" t="s">
        <v>295</v>
      </c>
      <c r="B19" s="192" t="s">
        <v>1233</v>
      </c>
      <c r="C19" s="25" t="s">
        <v>320</v>
      </c>
      <c r="D19" s="22" t="s">
        <v>291</v>
      </c>
      <c r="E19" s="22" t="s">
        <v>433</v>
      </c>
      <c r="F19" s="23">
        <v>25</v>
      </c>
      <c r="G19" s="203" t="s">
        <v>1245</v>
      </c>
      <c r="H19" s="111" t="s">
        <v>940</v>
      </c>
      <c r="I19" s="1">
        <f>SUM(I20:I23)</f>
        <v>3700</v>
      </c>
    </row>
    <row r="20" spans="1:9" ht="18.75">
      <c r="A20" s="10" t="s">
        <v>296</v>
      </c>
      <c r="B20" s="25" t="s">
        <v>591</v>
      </c>
      <c r="C20" s="26" t="s">
        <v>220</v>
      </c>
      <c r="D20" s="27" t="s">
        <v>219</v>
      </c>
      <c r="E20" s="22" t="s">
        <v>242</v>
      </c>
      <c r="F20" s="23">
        <v>3500</v>
      </c>
      <c r="G20" s="203" t="s">
        <v>1245</v>
      </c>
      <c r="H20" s="110" t="s">
        <v>941</v>
      </c>
      <c r="I20" s="1">
        <v>400</v>
      </c>
    </row>
    <row r="21" spans="1:9" ht="18.75">
      <c r="A21" s="10" t="s">
        <v>297</v>
      </c>
      <c r="B21" s="25" t="s">
        <v>218</v>
      </c>
      <c r="C21" s="26" t="s">
        <v>589</v>
      </c>
      <c r="D21" s="27" t="s">
        <v>219</v>
      </c>
      <c r="E21" s="22"/>
      <c r="F21" s="22">
        <f>F13</f>
        <v>99000</v>
      </c>
      <c r="G21" s="203" t="s">
        <v>1250</v>
      </c>
      <c r="H21" s="110" t="s">
        <v>942</v>
      </c>
      <c r="I21" s="1">
        <v>800</v>
      </c>
    </row>
    <row r="22" spans="1:9">
      <c r="A22" s="10" t="s">
        <v>298</v>
      </c>
      <c r="B22" s="192" t="s">
        <v>1232</v>
      </c>
      <c r="C22" s="26" t="s">
        <v>328</v>
      </c>
      <c r="D22" s="27" t="s">
        <v>223</v>
      </c>
      <c r="E22" s="193" t="s">
        <v>1234</v>
      </c>
      <c r="F22" s="28">
        <f>F14</f>
        <v>97251.53780108779</v>
      </c>
      <c r="G22" s="204" t="s">
        <v>1236</v>
      </c>
      <c r="H22" s="110" t="s">
        <v>943</v>
      </c>
      <c r="I22" s="7">
        <v>800</v>
      </c>
    </row>
    <row r="23" spans="1:9" ht="18.75">
      <c r="A23" s="10" t="s">
        <v>299</v>
      </c>
      <c r="B23" s="25" t="s">
        <v>244</v>
      </c>
      <c r="C23" s="26" t="s">
        <v>245</v>
      </c>
      <c r="D23" s="22" t="s">
        <v>291</v>
      </c>
      <c r="E23" s="29"/>
      <c r="F23" s="29">
        <v>20</v>
      </c>
      <c r="G23" s="203" t="s">
        <v>1251</v>
      </c>
      <c r="H23" s="110" t="s">
        <v>944</v>
      </c>
      <c r="I23" s="110">
        <v>1700</v>
      </c>
    </row>
    <row r="24" spans="1:9" ht="18.75">
      <c r="A24" s="10" t="s">
        <v>300</v>
      </c>
      <c r="B24" s="25" t="s">
        <v>246</v>
      </c>
      <c r="C24" s="26" t="s">
        <v>247</v>
      </c>
      <c r="D24" s="27" t="s">
        <v>219</v>
      </c>
      <c r="E24" s="26" t="s">
        <v>437</v>
      </c>
      <c r="F24" s="30">
        <f>F20*(101325/F21)*((F19+273)/(F23+273))*1.293/(1.293*273/(273+F19))</f>
        <v>3976.9645788417124</v>
      </c>
      <c r="G24" s="204" t="s">
        <v>1236</v>
      </c>
    </row>
    <row r="25" spans="1:9" ht="18.75">
      <c r="A25" s="10" t="s">
        <v>301</v>
      </c>
      <c r="B25" s="25" t="s">
        <v>248</v>
      </c>
      <c r="C25" s="26" t="s">
        <v>438</v>
      </c>
      <c r="D25" s="22"/>
      <c r="E25" s="22" t="s">
        <v>249</v>
      </c>
      <c r="F25" s="31">
        <f>F24*1.15</f>
        <v>4573.509265667969</v>
      </c>
      <c r="G25" s="204" t="s">
        <v>1252</v>
      </c>
    </row>
    <row r="26" spans="1:9" ht="18.75">
      <c r="A26" s="10" t="s">
        <v>302</v>
      </c>
      <c r="B26" s="25" t="s">
        <v>250</v>
      </c>
      <c r="C26" s="26" t="s">
        <v>251</v>
      </c>
      <c r="D26" s="27" t="s">
        <v>217</v>
      </c>
      <c r="E26" s="22" t="s">
        <v>602</v>
      </c>
      <c r="F26" s="24">
        <f>F22/2*1.1</f>
        <v>53488.345790598287</v>
      </c>
      <c r="G26" s="204" t="s">
        <v>1252</v>
      </c>
    </row>
    <row r="27" spans="1:9">
      <c r="A27" s="10" t="s">
        <v>303</v>
      </c>
      <c r="B27" s="25" t="s">
        <v>600</v>
      </c>
      <c r="C27" s="25" t="s">
        <v>319</v>
      </c>
      <c r="D27" s="22"/>
      <c r="E27" s="22"/>
      <c r="F27" s="33">
        <v>0.9</v>
      </c>
      <c r="G27" s="203" t="s">
        <v>1251</v>
      </c>
    </row>
    <row r="28" spans="1:9">
      <c r="A28" s="10" t="s">
        <v>304</v>
      </c>
      <c r="B28" s="25" t="s">
        <v>590</v>
      </c>
      <c r="C28" s="25" t="s">
        <v>446</v>
      </c>
      <c r="D28" s="22"/>
      <c r="E28" s="22" t="s">
        <v>272</v>
      </c>
      <c r="F28" s="34">
        <v>0.98</v>
      </c>
      <c r="G28" s="203" t="s">
        <v>1251</v>
      </c>
    </row>
    <row r="29" spans="1:9" ht="18.75">
      <c r="A29" s="10" t="s">
        <v>305</v>
      </c>
      <c r="B29" s="25" t="s">
        <v>447</v>
      </c>
      <c r="C29" s="25" t="s">
        <v>254</v>
      </c>
      <c r="D29" s="22"/>
      <c r="E29" s="22"/>
      <c r="F29" s="33">
        <v>0.9</v>
      </c>
      <c r="G29" s="203" t="s">
        <v>1251</v>
      </c>
    </row>
    <row r="30" spans="1:9" ht="18.75">
      <c r="A30" s="10" t="s">
        <v>306</v>
      </c>
      <c r="B30" s="25" t="s">
        <v>255</v>
      </c>
      <c r="C30" s="26" t="s">
        <v>256</v>
      </c>
      <c r="D30" s="22" t="s">
        <v>290</v>
      </c>
      <c r="E30" s="22" t="s">
        <v>439</v>
      </c>
      <c r="F30" s="27">
        <f>F25*F26/F27/F28/3600/9.81/102</f>
        <v>76.996053413925921</v>
      </c>
      <c r="G30" s="204" t="s">
        <v>1236</v>
      </c>
    </row>
    <row r="31" spans="1:9">
      <c r="A31" s="10" t="s">
        <v>307</v>
      </c>
      <c r="B31" s="25" t="s">
        <v>257</v>
      </c>
      <c r="C31" s="25" t="s">
        <v>341</v>
      </c>
      <c r="D31" s="22"/>
      <c r="E31" s="22"/>
      <c r="F31" s="34">
        <v>1.1000000000000001</v>
      </c>
      <c r="G31" s="203" t="s">
        <v>1251</v>
      </c>
    </row>
    <row r="32" spans="1:9" ht="18.75">
      <c r="A32" s="113" t="s">
        <v>308</v>
      </c>
      <c r="B32" s="114" t="s">
        <v>258</v>
      </c>
      <c r="C32" s="114" t="s">
        <v>310</v>
      </c>
      <c r="D32" s="115" t="s">
        <v>290</v>
      </c>
      <c r="E32" s="115" t="s">
        <v>259</v>
      </c>
      <c r="F32" s="116">
        <f>F31*F30/F29</f>
        <v>94.106287505909464</v>
      </c>
      <c r="G32" s="204" t="s">
        <v>1236</v>
      </c>
    </row>
    <row r="33" spans="1:9" ht="18.75" customHeight="1">
      <c r="A33" s="436" t="s">
        <v>309</v>
      </c>
      <c r="B33" s="529" t="s">
        <v>281</v>
      </c>
      <c r="C33" s="26" t="s">
        <v>953</v>
      </c>
      <c r="D33" s="26" t="s">
        <v>952</v>
      </c>
      <c r="E33" s="18" t="s">
        <v>956</v>
      </c>
      <c r="F33" s="26">
        <f>0.5*F32</f>
        <v>47.053143752954732</v>
      </c>
      <c r="G33" s="117" t="s">
        <v>122</v>
      </c>
      <c r="H33" s="117" t="s">
        <v>124</v>
      </c>
      <c r="I33" s="203" t="s">
        <v>1245</v>
      </c>
    </row>
    <row r="34" spans="1:9" ht="20.25" customHeight="1">
      <c r="A34" s="436"/>
      <c r="B34" s="529"/>
      <c r="C34" s="26" t="s">
        <v>954</v>
      </c>
      <c r="D34" s="26" t="s">
        <v>952</v>
      </c>
      <c r="E34" s="18" t="s">
        <v>955</v>
      </c>
      <c r="F34" s="26">
        <f>0.5*F26</f>
        <v>26744.172895299143</v>
      </c>
      <c r="G34" s="117" t="s">
        <v>117</v>
      </c>
      <c r="H34" s="117" t="s">
        <v>123</v>
      </c>
      <c r="I34" s="203" t="s">
        <v>1245</v>
      </c>
    </row>
    <row r="35" spans="1:9">
      <c r="B35" s="8"/>
      <c r="C35" s="8"/>
      <c r="D35" s="9"/>
      <c r="E35" s="9"/>
      <c r="F35" s="9"/>
    </row>
    <row r="36" spans="1:9">
      <c r="A36" s="19" t="s">
        <v>595</v>
      </c>
    </row>
    <row r="37" spans="1:9" ht="15" customHeight="1">
      <c r="A37" s="10" t="s">
        <v>321</v>
      </c>
      <c r="B37" s="25" t="s">
        <v>429</v>
      </c>
      <c r="C37" s="25" t="s">
        <v>431</v>
      </c>
      <c r="D37" s="22" t="s">
        <v>430</v>
      </c>
      <c r="E37" s="22" t="s">
        <v>432</v>
      </c>
      <c r="F37" s="10" t="s">
        <v>434</v>
      </c>
    </row>
    <row r="38" spans="1:9">
      <c r="A38" s="10" t="s">
        <v>295</v>
      </c>
      <c r="B38" s="25" t="s">
        <v>240</v>
      </c>
      <c r="C38" s="25" t="s">
        <v>435</v>
      </c>
      <c r="D38" s="22" t="s">
        <v>334</v>
      </c>
      <c r="E38" s="22" t="s">
        <v>433</v>
      </c>
      <c r="F38" s="23">
        <v>155</v>
      </c>
      <c r="G38" s="203" t="s">
        <v>1245</v>
      </c>
    </row>
    <row r="39" spans="1:9" ht="18.75">
      <c r="A39" s="10" t="s">
        <v>296</v>
      </c>
      <c r="B39" s="25" t="s">
        <v>241</v>
      </c>
      <c r="C39" s="26" t="s">
        <v>226</v>
      </c>
      <c r="D39" s="27" t="s">
        <v>225</v>
      </c>
      <c r="E39" s="22" t="s">
        <v>441</v>
      </c>
      <c r="F39" s="23">
        <v>4000</v>
      </c>
      <c r="G39" s="203" t="s">
        <v>1245</v>
      </c>
      <c r="H39" s="111" t="s">
        <v>945</v>
      </c>
      <c r="I39" s="1">
        <f>SUM(I40:I43)</f>
        <v>4000</v>
      </c>
    </row>
    <row r="40" spans="1:9" ht="18.75">
      <c r="A40" s="10" t="s">
        <v>297</v>
      </c>
      <c r="B40" s="25" t="s">
        <v>218</v>
      </c>
      <c r="C40" s="26" t="s">
        <v>230</v>
      </c>
      <c r="D40" s="27" t="s">
        <v>225</v>
      </c>
      <c r="E40" s="22" t="s">
        <v>260</v>
      </c>
      <c r="F40" s="27">
        <f>F13</f>
        <v>99000</v>
      </c>
      <c r="G40" s="203" t="s">
        <v>1250</v>
      </c>
      <c r="H40" s="110" t="s">
        <v>946</v>
      </c>
      <c r="I40" s="1">
        <v>3200</v>
      </c>
    </row>
    <row r="41" spans="1:9">
      <c r="A41" s="10" t="s">
        <v>298</v>
      </c>
      <c r="B41" s="25" t="s">
        <v>243</v>
      </c>
      <c r="C41" s="26" t="s">
        <v>261</v>
      </c>
      <c r="D41" s="27" t="s">
        <v>223</v>
      </c>
      <c r="E41" s="22" t="s">
        <v>262</v>
      </c>
      <c r="F41" s="35">
        <f>G14</f>
        <v>328758.46441336442</v>
      </c>
      <c r="G41" s="204" t="s">
        <v>1236</v>
      </c>
      <c r="H41" s="110" t="s">
        <v>947</v>
      </c>
      <c r="I41" s="7">
        <v>800</v>
      </c>
    </row>
    <row r="42" spans="1:9" ht="18.75">
      <c r="A42" s="10" t="s">
        <v>299</v>
      </c>
      <c r="B42" s="25" t="s">
        <v>263</v>
      </c>
      <c r="C42" s="25" t="s">
        <v>264</v>
      </c>
      <c r="D42" s="25" t="s">
        <v>334</v>
      </c>
      <c r="E42" s="25" t="s">
        <v>601</v>
      </c>
      <c r="F42" s="36">
        <v>200</v>
      </c>
      <c r="G42" s="203" t="s">
        <v>1251</v>
      </c>
      <c r="H42" s="110"/>
    </row>
    <row r="43" spans="1:9" ht="18.75">
      <c r="A43" s="10" t="s">
        <v>300</v>
      </c>
      <c r="B43" s="25" t="s">
        <v>444</v>
      </c>
      <c r="C43" s="25" t="s">
        <v>442</v>
      </c>
      <c r="D43" s="25" t="s">
        <v>443</v>
      </c>
      <c r="E43" s="25" t="s">
        <v>445</v>
      </c>
      <c r="F43" s="36">
        <v>1.34</v>
      </c>
      <c r="G43" s="203" t="s">
        <v>1251</v>
      </c>
      <c r="H43" s="110"/>
      <c r="I43" s="110"/>
    </row>
    <row r="44" spans="1:9" ht="18.75">
      <c r="A44" s="10" t="s">
        <v>301</v>
      </c>
      <c r="B44" s="25" t="s">
        <v>265</v>
      </c>
      <c r="C44" s="25" t="s">
        <v>267</v>
      </c>
      <c r="D44" s="25" t="s">
        <v>266</v>
      </c>
      <c r="E44" s="25" t="s">
        <v>268</v>
      </c>
      <c r="F44" s="37">
        <f>F39*(101325/F40)*((F38+273)/(F42+273))*1.293/F43</f>
        <v>3574.5202681575784</v>
      </c>
      <c r="G44" s="204" t="s">
        <v>1236</v>
      </c>
    </row>
    <row r="45" spans="1:9" ht="18.75">
      <c r="A45" s="10" t="s">
        <v>302</v>
      </c>
      <c r="B45" s="25" t="s">
        <v>248</v>
      </c>
      <c r="C45" s="26" t="s">
        <v>438</v>
      </c>
      <c r="D45" s="22"/>
      <c r="E45" s="22" t="s">
        <v>269</v>
      </c>
      <c r="F45" s="31">
        <f>F44*1.15</f>
        <v>4110.6983083812147</v>
      </c>
      <c r="G45" s="204" t="s">
        <v>1236</v>
      </c>
    </row>
    <row r="46" spans="1:9" ht="18.75">
      <c r="A46" s="10" t="s">
        <v>303</v>
      </c>
      <c r="B46" s="25" t="s">
        <v>250</v>
      </c>
      <c r="C46" s="26" t="s">
        <v>270</v>
      </c>
      <c r="D46" s="27" t="s">
        <v>223</v>
      </c>
      <c r="E46" s="22" t="s">
        <v>603</v>
      </c>
      <c r="F46" s="32">
        <f>F41/2*1.1</f>
        <v>180817.15542735046</v>
      </c>
      <c r="G46" s="204" t="s">
        <v>1236</v>
      </c>
    </row>
    <row r="47" spans="1:9">
      <c r="A47" s="10" t="s">
        <v>304</v>
      </c>
      <c r="B47" s="25" t="s">
        <v>252</v>
      </c>
      <c r="C47" s="25" t="s">
        <v>436</v>
      </c>
      <c r="D47" s="22"/>
      <c r="E47" s="22" t="s">
        <v>271</v>
      </c>
      <c r="F47" s="34">
        <v>0.9</v>
      </c>
      <c r="G47" s="203" t="s">
        <v>1251</v>
      </c>
    </row>
    <row r="48" spans="1:9">
      <c r="A48" s="10" t="s">
        <v>305</v>
      </c>
      <c r="B48" s="25" t="s">
        <v>590</v>
      </c>
      <c r="C48" s="25" t="s">
        <v>446</v>
      </c>
      <c r="D48" s="22"/>
      <c r="E48" s="22" t="s">
        <v>272</v>
      </c>
      <c r="F48" s="34">
        <v>0.98</v>
      </c>
      <c r="G48" s="203" t="s">
        <v>1251</v>
      </c>
    </row>
    <row r="49" spans="1:9" ht="18.75">
      <c r="A49" s="10" t="s">
        <v>306</v>
      </c>
      <c r="B49" s="25" t="s">
        <v>253</v>
      </c>
      <c r="C49" s="25" t="s">
        <v>273</v>
      </c>
      <c r="D49" s="22"/>
      <c r="E49" s="22" t="s">
        <v>274</v>
      </c>
      <c r="F49" s="34">
        <v>0.9</v>
      </c>
      <c r="G49" s="203" t="s">
        <v>1251</v>
      </c>
    </row>
    <row r="50" spans="1:9" ht="18.75">
      <c r="A50" s="10" t="s">
        <v>307</v>
      </c>
      <c r="B50" s="25" t="s">
        <v>255</v>
      </c>
      <c r="C50" s="26" t="s">
        <v>276</v>
      </c>
      <c r="D50" s="22" t="s">
        <v>275</v>
      </c>
      <c r="E50" s="22" t="s">
        <v>277</v>
      </c>
      <c r="F50" s="27">
        <f>F45*F46/F47/F48/3600/102/9.81</f>
        <v>233.94564875367874</v>
      </c>
      <c r="G50" s="204" t="s">
        <v>1236</v>
      </c>
    </row>
    <row r="51" spans="1:9">
      <c r="A51" s="10" t="s">
        <v>308</v>
      </c>
      <c r="B51" s="25" t="s">
        <v>257</v>
      </c>
      <c r="C51" s="25" t="s">
        <v>278</v>
      </c>
      <c r="D51" s="22"/>
      <c r="E51" s="22"/>
      <c r="F51" s="34">
        <v>1.1000000000000001</v>
      </c>
      <c r="G51" s="203" t="s">
        <v>1251</v>
      </c>
    </row>
    <row r="52" spans="1:9" ht="18.75">
      <c r="A52" s="10" t="s">
        <v>309</v>
      </c>
      <c r="B52" s="25" t="s">
        <v>258</v>
      </c>
      <c r="C52" s="25" t="s">
        <v>279</v>
      </c>
      <c r="D52" s="22" t="s">
        <v>275</v>
      </c>
      <c r="E52" s="22" t="s">
        <v>280</v>
      </c>
      <c r="F52" s="32">
        <f>F51*F50/F49</f>
        <v>285.93357069894068</v>
      </c>
      <c r="G52" s="204" t="s">
        <v>1236</v>
      </c>
    </row>
    <row r="53" spans="1:9" ht="15" hidden="1" customHeight="1" thickBot="1">
      <c r="B53" s="8"/>
      <c r="C53" s="8"/>
      <c r="D53" s="9"/>
      <c r="E53" s="9"/>
      <c r="F53" s="9"/>
    </row>
    <row r="54" spans="1:9">
      <c r="A54" s="436" t="s">
        <v>118</v>
      </c>
      <c r="B54" s="529" t="s">
        <v>281</v>
      </c>
      <c r="C54" s="26" t="s">
        <v>953</v>
      </c>
      <c r="D54" s="26" t="s">
        <v>952</v>
      </c>
      <c r="E54" s="18" t="s">
        <v>956</v>
      </c>
      <c r="F54" s="26">
        <f>0.5*F52</f>
        <v>142.96678534947034</v>
      </c>
      <c r="G54" s="117" t="s">
        <v>119</v>
      </c>
      <c r="H54" s="117" t="s">
        <v>116</v>
      </c>
      <c r="I54" s="203" t="s">
        <v>1245</v>
      </c>
    </row>
    <row r="55" spans="1:9">
      <c r="A55" s="436"/>
      <c r="B55" s="529"/>
      <c r="C55" s="26" t="s">
        <v>954</v>
      </c>
      <c r="D55" s="26" t="s">
        <v>952</v>
      </c>
      <c r="E55" s="18" t="s">
        <v>955</v>
      </c>
      <c r="F55" s="26">
        <f>0.5*F46</f>
        <v>90408.577713675229</v>
      </c>
      <c r="G55" s="117" t="s">
        <v>121</v>
      </c>
      <c r="H55" s="117" t="s">
        <v>120</v>
      </c>
      <c r="I55" s="203" t="s">
        <v>1245</v>
      </c>
    </row>
    <row r="56" spans="1:9">
      <c r="C56" s="141"/>
      <c r="D56" s="141"/>
      <c r="E56" s="142"/>
      <c r="F56" s="142"/>
    </row>
    <row r="57" spans="1:9">
      <c r="A57" s="19" t="s">
        <v>143</v>
      </c>
      <c r="C57" s="143" t="s">
        <v>1013</v>
      </c>
      <c r="D57" s="143" t="s">
        <v>1014</v>
      </c>
      <c r="E57" s="144" t="s">
        <v>1015</v>
      </c>
      <c r="F57" s="144" t="s">
        <v>1015</v>
      </c>
      <c r="G57" s="110"/>
    </row>
    <row r="58" spans="1:9">
      <c r="A58" s="123" t="s">
        <v>155</v>
      </c>
      <c r="C58" s="144" t="s">
        <v>1016</v>
      </c>
      <c r="D58" s="144" t="s">
        <v>1017</v>
      </c>
      <c r="E58" s="144" t="s">
        <v>1018</v>
      </c>
      <c r="F58" s="144" t="s">
        <v>1018</v>
      </c>
    </row>
    <row r="59" spans="1:9">
      <c r="A59" s="10" t="s">
        <v>321</v>
      </c>
      <c r="B59" s="22" t="s">
        <v>125</v>
      </c>
      <c r="C59" s="26" t="s">
        <v>261</v>
      </c>
      <c r="D59" s="27" t="s">
        <v>223</v>
      </c>
      <c r="E59" s="27" t="s">
        <v>139</v>
      </c>
      <c r="F59" s="118">
        <f>H14</f>
        <v>18396.354003139721</v>
      </c>
    </row>
    <row r="60" spans="1:9">
      <c r="A60" s="10" t="s">
        <v>295</v>
      </c>
      <c r="B60" s="22" t="s">
        <v>126</v>
      </c>
      <c r="C60" s="25" t="s">
        <v>435</v>
      </c>
      <c r="D60" s="22" t="s">
        <v>334</v>
      </c>
      <c r="E60" s="27" t="s">
        <v>141</v>
      </c>
      <c r="F60" s="119">
        <v>25</v>
      </c>
    </row>
    <row r="61" spans="1:9">
      <c r="A61" s="10" t="s">
        <v>296</v>
      </c>
      <c r="B61" s="22" t="s">
        <v>127</v>
      </c>
      <c r="C61" s="22" t="s">
        <v>132</v>
      </c>
      <c r="D61" s="22" t="s">
        <v>133</v>
      </c>
      <c r="E61" s="27" t="s">
        <v>142</v>
      </c>
      <c r="F61" s="120">
        <v>15</v>
      </c>
    </row>
    <row r="62" spans="1:9">
      <c r="A62" s="10" t="s">
        <v>297</v>
      </c>
      <c r="B62" s="27" t="s">
        <v>128</v>
      </c>
      <c r="C62" s="27" t="s">
        <v>134</v>
      </c>
      <c r="D62" s="27" t="s">
        <v>138</v>
      </c>
      <c r="E62" s="22"/>
      <c r="F62" s="22">
        <f>F59/3600/F61</f>
        <v>0.34067322228036523</v>
      </c>
    </row>
    <row r="63" spans="1:9">
      <c r="A63" s="10" t="s">
        <v>298</v>
      </c>
      <c r="B63" s="27" t="s">
        <v>129</v>
      </c>
      <c r="C63" s="27" t="s">
        <v>135</v>
      </c>
      <c r="D63" s="27" t="s">
        <v>138</v>
      </c>
      <c r="E63" s="22"/>
      <c r="F63" s="22">
        <f>SQRT(4*F62/3.14)</f>
        <v>0.65877054207724373</v>
      </c>
    </row>
    <row r="64" spans="1:9">
      <c r="A64" s="10" t="s">
        <v>299</v>
      </c>
      <c r="B64" s="27" t="s">
        <v>130</v>
      </c>
      <c r="C64" s="27" t="s">
        <v>136</v>
      </c>
      <c r="D64" s="27" t="s">
        <v>138</v>
      </c>
      <c r="E64" s="22"/>
      <c r="F64" s="117">
        <v>1620</v>
      </c>
    </row>
    <row r="65" spans="1:6">
      <c r="A65" s="10" t="s">
        <v>300</v>
      </c>
      <c r="B65" s="27" t="s">
        <v>131</v>
      </c>
      <c r="C65" s="27" t="s">
        <v>137</v>
      </c>
      <c r="D65" s="27" t="s">
        <v>138</v>
      </c>
      <c r="E65" s="22"/>
      <c r="F65" s="117">
        <v>10</v>
      </c>
    </row>
    <row r="66" spans="1:6">
      <c r="A66" s="123" t="s">
        <v>156</v>
      </c>
    </row>
    <row r="67" spans="1:6">
      <c r="A67" s="10" t="s">
        <v>321</v>
      </c>
      <c r="B67" s="22" t="s">
        <v>125</v>
      </c>
      <c r="C67" s="26" t="s">
        <v>261</v>
      </c>
      <c r="D67" s="27" t="s">
        <v>223</v>
      </c>
      <c r="E67" s="27" t="s">
        <v>139</v>
      </c>
      <c r="F67" s="118">
        <f>F14/2</f>
        <v>48625.768900543895</v>
      </c>
    </row>
    <row r="68" spans="1:6">
      <c r="A68" s="10" t="s">
        <v>295</v>
      </c>
      <c r="B68" s="22" t="s">
        <v>126</v>
      </c>
      <c r="C68" s="25" t="s">
        <v>435</v>
      </c>
      <c r="D68" s="22" t="s">
        <v>334</v>
      </c>
      <c r="E68" s="27" t="s">
        <v>141</v>
      </c>
      <c r="F68" s="119">
        <v>20</v>
      </c>
    </row>
    <row r="69" spans="1:6">
      <c r="A69" s="10" t="s">
        <v>296</v>
      </c>
      <c r="B69" s="22" t="s">
        <v>127</v>
      </c>
      <c r="C69" s="22" t="s">
        <v>132</v>
      </c>
      <c r="D69" s="22" t="s">
        <v>133</v>
      </c>
      <c r="E69" s="27" t="s">
        <v>144</v>
      </c>
      <c r="F69" s="120">
        <v>11</v>
      </c>
    </row>
    <row r="70" spans="1:6">
      <c r="A70" s="10" t="s">
        <v>297</v>
      </c>
      <c r="B70" s="27" t="s">
        <v>128</v>
      </c>
      <c r="C70" s="27" t="s">
        <v>134</v>
      </c>
      <c r="D70" s="27" t="s">
        <v>138</v>
      </c>
      <c r="E70" s="22"/>
      <c r="F70" s="22">
        <f>F67/3600/F69</f>
        <v>1.2279234570844417</v>
      </c>
    </row>
    <row r="71" spans="1:6">
      <c r="A71" s="10" t="s">
        <v>298</v>
      </c>
      <c r="B71" s="27" t="s">
        <v>145</v>
      </c>
      <c r="C71" s="27" t="s">
        <v>135</v>
      </c>
      <c r="D71" s="27" t="s">
        <v>138</v>
      </c>
      <c r="E71" s="22"/>
      <c r="F71" s="22">
        <f>SQRT(4*F70/3.14)</f>
        <v>1.2506932890570264</v>
      </c>
    </row>
    <row r="72" spans="1:6">
      <c r="A72" s="10" t="s">
        <v>299</v>
      </c>
      <c r="B72" s="121" t="s">
        <v>146</v>
      </c>
      <c r="C72" s="27" t="s">
        <v>148</v>
      </c>
      <c r="D72" s="27" t="s">
        <v>138</v>
      </c>
      <c r="E72" s="22"/>
      <c r="F72" s="33">
        <v>1.3</v>
      </c>
    </row>
    <row r="73" spans="1:6">
      <c r="A73" s="10" t="s">
        <v>300</v>
      </c>
      <c r="B73" s="121" t="s">
        <v>147</v>
      </c>
      <c r="C73" s="27" t="s">
        <v>149</v>
      </c>
      <c r="D73" s="27" t="s">
        <v>138</v>
      </c>
      <c r="E73" s="22"/>
      <c r="F73" s="34">
        <f>F70/F72</f>
        <v>0.94455650544957048</v>
      </c>
    </row>
    <row r="74" spans="1:6">
      <c r="A74" s="10" t="s">
        <v>301</v>
      </c>
      <c r="B74" s="122" t="s">
        <v>150</v>
      </c>
      <c r="C74" s="27"/>
      <c r="D74" s="27" t="s">
        <v>138</v>
      </c>
      <c r="E74" s="22"/>
      <c r="F74" s="117" t="s">
        <v>151</v>
      </c>
    </row>
    <row r="75" spans="1:6">
      <c r="A75" s="123" t="s">
        <v>161</v>
      </c>
    </row>
    <row r="76" spans="1:6">
      <c r="A76" s="10" t="s">
        <v>321</v>
      </c>
      <c r="B76" s="22" t="s">
        <v>125</v>
      </c>
      <c r="C76" s="26" t="s">
        <v>261</v>
      </c>
      <c r="D76" s="27" t="s">
        <v>223</v>
      </c>
      <c r="E76" s="27" t="s">
        <v>139</v>
      </c>
      <c r="F76" s="118">
        <f>F14</f>
        <v>97251.53780108779</v>
      </c>
    </row>
    <row r="77" spans="1:6">
      <c r="A77" s="10" t="s">
        <v>295</v>
      </c>
      <c r="B77" s="22" t="s">
        <v>126</v>
      </c>
      <c r="C77" s="25" t="s">
        <v>435</v>
      </c>
      <c r="D77" s="22" t="s">
        <v>334</v>
      </c>
      <c r="E77" s="27" t="s">
        <v>141</v>
      </c>
      <c r="F77" s="119">
        <v>200</v>
      </c>
    </row>
    <row r="78" spans="1:6">
      <c r="A78" s="10" t="s">
        <v>296</v>
      </c>
      <c r="B78" s="22" t="s">
        <v>127</v>
      </c>
      <c r="C78" s="22" t="s">
        <v>132</v>
      </c>
      <c r="D78" s="22" t="s">
        <v>133</v>
      </c>
      <c r="E78" s="27" t="s">
        <v>152</v>
      </c>
      <c r="F78" s="120">
        <v>20</v>
      </c>
    </row>
    <row r="79" spans="1:6">
      <c r="A79" s="10" t="s">
        <v>297</v>
      </c>
      <c r="B79" s="27" t="s">
        <v>128</v>
      </c>
      <c r="C79" s="27" t="s">
        <v>134</v>
      </c>
      <c r="D79" s="27" t="s">
        <v>138</v>
      </c>
      <c r="E79" s="22"/>
      <c r="F79" s="22">
        <f>F76/3600/F78</f>
        <v>1.3507158027928861</v>
      </c>
    </row>
    <row r="80" spans="1:6">
      <c r="A80" s="10" t="s">
        <v>298</v>
      </c>
      <c r="B80" s="27" t="s">
        <v>145</v>
      </c>
      <c r="C80" s="27" t="s">
        <v>135</v>
      </c>
      <c r="D80" s="27" t="s">
        <v>138</v>
      </c>
      <c r="E80" s="22"/>
      <c r="F80" s="22">
        <f>SQRT(4*F79/3.14)</f>
        <v>1.3117381879100383</v>
      </c>
    </row>
    <row r="81" spans="1:6">
      <c r="A81" s="10" t="s">
        <v>299</v>
      </c>
      <c r="B81" s="121" t="s">
        <v>146</v>
      </c>
      <c r="C81" s="27" t="s">
        <v>148</v>
      </c>
      <c r="D81" s="27" t="s">
        <v>138</v>
      </c>
      <c r="E81" s="22"/>
      <c r="F81" s="33">
        <v>1</v>
      </c>
    </row>
    <row r="82" spans="1:6">
      <c r="A82" s="10" t="s">
        <v>300</v>
      </c>
      <c r="B82" s="121" t="s">
        <v>147</v>
      </c>
      <c r="C82" s="27" t="s">
        <v>149</v>
      </c>
      <c r="D82" s="27" t="s">
        <v>138</v>
      </c>
      <c r="E82" s="22"/>
      <c r="F82" s="34">
        <f>F79/F81</f>
        <v>1.3507158027928861</v>
      </c>
    </row>
    <row r="83" spans="1:6">
      <c r="A83" s="10" t="s">
        <v>301</v>
      </c>
      <c r="B83" s="122" t="s">
        <v>150</v>
      </c>
      <c r="C83" s="27"/>
      <c r="D83" s="27" t="s">
        <v>138</v>
      </c>
      <c r="E83" s="22"/>
      <c r="F83" s="117" t="s">
        <v>153</v>
      </c>
    </row>
    <row r="84" spans="1:6">
      <c r="A84" s="123" t="s">
        <v>157</v>
      </c>
    </row>
    <row r="85" spans="1:6">
      <c r="A85" s="10" t="s">
        <v>321</v>
      </c>
      <c r="B85" s="22" t="s">
        <v>125</v>
      </c>
      <c r="C85" s="26" t="s">
        <v>261</v>
      </c>
      <c r="D85" s="27" t="s">
        <v>223</v>
      </c>
      <c r="E85" s="27" t="s">
        <v>139</v>
      </c>
      <c r="F85" s="118">
        <f>G14</f>
        <v>328758.46441336442</v>
      </c>
    </row>
    <row r="86" spans="1:6">
      <c r="A86" s="10" t="s">
        <v>295</v>
      </c>
      <c r="B86" s="22" t="s">
        <v>126</v>
      </c>
      <c r="C86" s="25" t="s">
        <v>435</v>
      </c>
      <c r="D86" s="22" t="s">
        <v>334</v>
      </c>
      <c r="E86" s="27" t="s">
        <v>141</v>
      </c>
      <c r="F86" s="119">
        <v>150</v>
      </c>
    </row>
    <row r="87" spans="1:6">
      <c r="A87" s="10" t="s">
        <v>296</v>
      </c>
      <c r="B87" s="22" t="s">
        <v>127</v>
      </c>
      <c r="C87" s="22" t="s">
        <v>132</v>
      </c>
      <c r="D87" s="22" t="s">
        <v>133</v>
      </c>
      <c r="E87" s="27" t="s">
        <v>154</v>
      </c>
      <c r="F87" s="120">
        <v>12</v>
      </c>
    </row>
    <row r="88" spans="1:6">
      <c r="A88" s="10" t="s">
        <v>297</v>
      </c>
      <c r="B88" s="27" t="s">
        <v>128</v>
      </c>
      <c r="C88" s="27" t="s">
        <v>134</v>
      </c>
      <c r="D88" s="27" t="s">
        <v>138</v>
      </c>
      <c r="E88" s="22"/>
      <c r="F88" s="22">
        <f>F85/3600/F87</f>
        <v>7.6101496391982506</v>
      </c>
    </row>
    <row r="89" spans="1:6">
      <c r="A89" s="10" t="s">
        <v>298</v>
      </c>
      <c r="B89" s="27" t="s">
        <v>145</v>
      </c>
      <c r="C89" s="27" t="s">
        <v>135</v>
      </c>
      <c r="D89" s="27" t="s">
        <v>138</v>
      </c>
      <c r="E89" s="22"/>
      <c r="F89" s="22">
        <f>SQRT(4*F88/3.14)</f>
        <v>3.1135924812194116</v>
      </c>
    </row>
    <row r="90" spans="1:6">
      <c r="A90" s="10" t="s">
        <v>299</v>
      </c>
      <c r="B90" s="121" t="s">
        <v>146</v>
      </c>
      <c r="C90" s="27" t="s">
        <v>148</v>
      </c>
      <c r="D90" s="27" t="s">
        <v>138</v>
      </c>
      <c r="E90" s="22"/>
      <c r="F90" s="33">
        <v>2</v>
      </c>
    </row>
    <row r="91" spans="1:6">
      <c r="A91" s="10" t="s">
        <v>300</v>
      </c>
      <c r="B91" s="121" t="s">
        <v>147</v>
      </c>
      <c r="C91" s="27" t="s">
        <v>149</v>
      </c>
      <c r="D91" s="27" t="s">
        <v>138</v>
      </c>
      <c r="E91" s="22"/>
      <c r="F91" s="34">
        <f>F88/F90</f>
        <v>3.8050748195991253</v>
      </c>
    </row>
    <row r="92" spans="1:6">
      <c r="A92" s="10" t="s">
        <v>301</v>
      </c>
      <c r="B92" s="122" t="s">
        <v>150</v>
      </c>
      <c r="C92" s="27"/>
      <c r="D92" s="27" t="s">
        <v>138</v>
      </c>
      <c r="E92" s="22"/>
      <c r="F92" s="117" t="s">
        <v>159</v>
      </c>
    </row>
    <row r="93" spans="1:6">
      <c r="A93" s="123" t="s">
        <v>158</v>
      </c>
    </row>
    <row r="94" spans="1:6">
      <c r="A94" s="10" t="s">
        <v>321</v>
      </c>
      <c r="B94" s="22" t="s">
        <v>125</v>
      </c>
      <c r="C94" s="26" t="s">
        <v>261</v>
      </c>
      <c r="D94" s="27" t="s">
        <v>223</v>
      </c>
      <c r="E94" s="27" t="s">
        <v>139</v>
      </c>
      <c r="F94" s="118">
        <f>F85/2</f>
        <v>164379.23220668221</v>
      </c>
    </row>
    <row r="95" spans="1:6">
      <c r="A95" s="10" t="s">
        <v>295</v>
      </c>
      <c r="B95" s="22" t="s">
        <v>126</v>
      </c>
      <c r="C95" s="25" t="s">
        <v>435</v>
      </c>
      <c r="D95" s="22" t="s">
        <v>334</v>
      </c>
      <c r="E95" s="27" t="s">
        <v>141</v>
      </c>
      <c r="F95" s="119">
        <v>150</v>
      </c>
    </row>
    <row r="96" spans="1:6">
      <c r="A96" s="10" t="s">
        <v>296</v>
      </c>
      <c r="B96" s="22" t="s">
        <v>127</v>
      </c>
      <c r="C96" s="22" t="s">
        <v>132</v>
      </c>
      <c r="D96" s="22" t="s">
        <v>133</v>
      </c>
      <c r="E96" s="27" t="s">
        <v>154</v>
      </c>
      <c r="F96" s="120">
        <v>12</v>
      </c>
    </row>
    <row r="97" spans="1:6">
      <c r="A97" s="10" t="s">
        <v>297</v>
      </c>
      <c r="B97" s="27" t="s">
        <v>128</v>
      </c>
      <c r="C97" s="27" t="s">
        <v>134</v>
      </c>
      <c r="D97" s="27" t="s">
        <v>138</v>
      </c>
      <c r="E97" s="22"/>
      <c r="F97" s="22">
        <f>F94/3600/F96</f>
        <v>3.8050748195991253</v>
      </c>
    </row>
    <row r="98" spans="1:6">
      <c r="A98" s="10" t="s">
        <v>298</v>
      </c>
      <c r="B98" s="27" t="s">
        <v>145</v>
      </c>
      <c r="C98" s="27" t="s">
        <v>135</v>
      </c>
      <c r="D98" s="27" t="s">
        <v>138</v>
      </c>
      <c r="E98" s="22"/>
      <c r="F98" s="22">
        <f>SQRT(4*F97/3.14)</f>
        <v>2.2016423573216941</v>
      </c>
    </row>
    <row r="99" spans="1:6">
      <c r="A99" s="10" t="s">
        <v>299</v>
      </c>
      <c r="B99" s="121" t="s">
        <v>146</v>
      </c>
      <c r="C99" s="27" t="s">
        <v>148</v>
      </c>
      <c r="D99" s="27" t="s">
        <v>138</v>
      </c>
      <c r="E99" s="22"/>
      <c r="F99" s="33">
        <v>1.5</v>
      </c>
    </row>
    <row r="100" spans="1:6">
      <c r="A100" s="10" t="s">
        <v>300</v>
      </c>
      <c r="B100" s="121" t="s">
        <v>147</v>
      </c>
      <c r="C100" s="27" t="s">
        <v>149</v>
      </c>
      <c r="D100" s="27" t="s">
        <v>138</v>
      </c>
      <c r="E100" s="22"/>
      <c r="F100" s="34">
        <f>F97/F99</f>
        <v>2.536716546399417</v>
      </c>
    </row>
    <row r="101" spans="1:6">
      <c r="A101" s="10" t="s">
        <v>301</v>
      </c>
      <c r="B101" s="122" t="s">
        <v>150</v>
      </c>
      <c r="C101" s="27"/>
      <c r="D101" s="27" t="s">
        <v>138</v>
      </c>
      <c r="E101" s="22"/>
      <c r="F101" s="117" t="s">
        <v>160</v>
      </c>
    </row>
    <row r="102" spans="1:6">
      <c r="A102" s="123" t="s">
        <v>162</v>
      </c>
    </row>
    <row r="103" spans="1:6">
      <c r="A103" s="10" t="s">
        <v>321</v>
      </c>
      <c r="B103" s="22" t="s">
        <v>125</v>
      </c>
      <c r="C103" s="26" t="s">
        <v>261</v>
      </c>
      <c r="D103" s="27" t="s">
        <v>223</v>
      </c>
      <c r="E103" s="27" t="s">
        <v>139</v>
      </c>
      <c r="F103" s="118">
        <f>F76/2</f>
        <v>48625.768900543895</v>
      </c>
    </row>
    <row r="104" spans="1:6">
      <c r="A104" s="10" t="s">
        <v>295</v>
      </c>
      <c r="B104" s="22" t="s">
        <v>126</v>
      </c>
      <c r="C104" s="25" t="s">
        <v>435</v>
      </c>
      <c r="D104" s="22" t="s">
        <v>334</v>
      </c>
      <c r="E104" s="27" t="s">
        <v>141</v>
      </c>
      <c r="F104" s="119">
        <v>200</v>
      </c>
    </row>
    <row r="105" spans="1:6">
      <c r="A105" s="10" t="s">
        <v>296</v>
      </c>
      <c r="B105" s="22" t="s">
        <v>127</v>
      </c>
      <c r="C105" s="22" t="s">
        <v>132</v>
      </c>
      <c r="D105" s="22" t="s">
        <v>133</v>
      </c>
      <c r="E105" s="27" t="s">
        <v>152</v>
      </c>
      <c r="F105" s="120">
        <v>20</v>
      </c>
    </row>
    <row r="106" spans="1:6">
      <c r="A106" s="10" t="s">
        <v>297</v>
      </c>
      <c r="B106" s="27" t="s">
        <v>128</v>
      </c>
      <c r="C106" s="27" t="s">
        <v>134</v>
      </c>
      <c r="D106" s="27" t="s">
        <v>163</v>
      </c>
      <c r="E106" s="22"/>
      <c r="F106" s="22">
        <f>F103/3600/F105</f>
        <v>0.67535790139644303</v>
      </c>
    </row>
    <row r="107" spans="1:6">
      <c r="A107" s="10" t="s">
        <v>298</v>
      </c>
      <c r="B107" s="27" t="s">
        <v>129</v>
      </c>
      <c r="C107" s="27" t="s">
        <v>135</v>
      </c>
      <c r="D107" s="27" t="s">
        <v>138</v>
      </c>
      <c r="E107" s="22"/>
      <c r="F107" s="22">
        <f>SQRT(4*F106/3.14)</f>
        <v>0.92753896781254175</v>
      </c>
    </row>
    <row r="108" spans="1:6">
      <c r="A108" s="10" t="s">
        <v>299</v>
      </c>
      <c r="B108" s="27" t="s">
        <v>130</v>
      </c>
      <c r="C108" s="27" t="s">
        <v>136</v>
      </c>
      <c r="D108" s="27" t="s">
        <v>138</v>
      </c>
      <c r="E108" s="22"/>
      <c r="F108" s="117">
        <v>920</v>
      </c>
    </row>
    <row r="109" spans="1:6">
      <c r="A109" s="10" t="s">
        <v>300</v>
      </c>
      <c r="B109" s="27" t="s">
        <v>131</v>
      </c>
      <c r="C109" s="27" t="s">
        <v>137</v>
      </c>
      <c r="D109" s="27" t="s">
        <v>138</v>
      </c>
      <c r="E109" s="22"/>
      <c r="F109" s="117">
        <v>4</v>
      </c>
    </row>
    <row r="110" spans="1:6">
      <c r="A110" s="123" t="s">
        <v>164</v>
      </c>
    </row>
    <row r="111" spans="1:6">
      <c r="A111" s="10" t="s">
        <v>321</v>
      </c>
      <c r="B111" s="22" t="s">
        <v>125</v>
      </c>
      <c r="C111" s="26" t="s">
        <v>261</v>
      </c>
      <c r="D111" s="27" t="s">
        <v>223</v>
      </c>
      <c r="E111" s="27" t="s">
        <v>139</v>
      </c>
      <c r="F111" s="118">
        <f>F103/3</f>
        <v>16208.589633514632</v>
      </c>
    </row>
    <row r="112" spans="1:6">
      <c r="A112" s="10" t="s">
        <v>295</v>
      </c>
      <c r="B112" s="22" t="s">
        <v>126</v>
      </c>
      <c r="C112" s="25" t="s">
        <v>435</v>
      </c>
      <c r="D112" s="22" t="s">
        <v>334</v>
      </c>
      <c r="E112" s="27" t="s">
        <v>141</v>
      </c>
      <c r="F112" s="119">
        <v>200</v>
      </c>
    </row>
    <row r="113" spans="1:6">
      <c r="A113" s="10" t="s">
        <v>296</v>
      </c>
      <c r="B113" s="22" t="s">
        <v>127</v>
      </c>
      <c r="C113" s="22" t="s">
        <v>132</v>
      </c>
      <c r="D113" s="22" t="s">
        <v>133</v>
      </c>
      <c r="E113" s="27" t="s">
        <v>152</v>
      </c>
      <c r="F113" s="120">
        <v>20</v>
      </c>
    </row>
    <row r="114" spans="1:6">
      <c r="A114" s="10" t="s">
        <v>297</v>
      </c>
      <c r="B114" s="27" t="s">
        <v>128</v>
      </c>
      <c r="C114" s="27" t="s">
        <v>134</v>
      </c>
      <c r="D114" s="27" t="s">
        <v>163</v>
      </c>
      <c r="E114" s="22"/>
      <c r="F114" s="22">
        <f>F111/3600/F113</f>
        <v>0.22511930046548101</v>
      </c>
    </row>
    <row r="115" spans="1:6">
      <c r="A115" s="10" t="s">
        <v>298</v>
      </c>
      <c r="B115" s="27" t="s">
        <v>129</v>
      </c>
      <c r="C115" s="27" t="s">
        <v>135</v>
      </c>
      <c r="D115" s="27" t="s">
        <v>138</v>
      </c>
      <c r="E115" s="22"/>
      <c r="F115" s="22">
        <f>SQRT(4*F114/3.14)</f>
        <v>0.53551487275043863</v>
      </c>
    </row>
    <row r="116" spans="1:6">
      <c r="A116" s="10" t="s">
        <v>299</v>
      </c>
      <c r="B116" s="27" t="s">
        <v>130</v>
      </c>
      <c r="C116" s="27" t="s">
        <v>136</v>
      </c>
      <c r="D116" s="27" t="s">
        <v>138</v>
      </c>
      <c r="E116" s="22"/>
      <c r="F116" s="117">
        <v>520</v>
      </c>
    </row>
    <row r="117" spans="1:6">
      <c r="A117" s="10" t="s">
        <v>300</v>
      </c>
      <c r="B117" s="27" t="s">
        <v>131</v>
      </c>
      <c r="C117" s="27" t="s">
        <v>137</v>
      </c>
      <c r="D117" s="27" t="s">
        <v>138</v>
      </c>
      <c r="E117" s="22"/>
      <c r="F117" s="117">
        <v>4</v>
      </c>
    </row>
    <row r="118" spans="1:6">
      <c r="A118" s="19" t="s">
        <v>165</v>
      </c>
    </row>
    <row r="119" spans="1:6">
      <c r="A119" s="123" t="s">
        <v>166</v>
      </c>
    </row>
    <row r="120" spans="1:6">
      <c r="A120" s="10" t="s">
        <v>321</v>
      </c>
      <c r="B120" s="22" t="s">
        <v>167</v>
      </c>
      <c r="C120" s="26" t="s">
        <v>168</v>
      </c>
      <c r="D120" s="27" t="s">
        <v>138</v>
      </c>
      <c r="E120" s="27" t="s">
        <v>169</v>
      </c>
      <c r="F120" s="124">
        <v>80</v>
      </c>
    </row>
    <row r="121" spans="1:6" ht="15.75" customHeight="1">
      <c r="A121" s="10" t="s">
        <v>295</v>
      </c>
      <c r="B121" s="22" t="s">
        <v>440</v>
      </c>
      <c r="C121" s="22" t="s">
        <v>183</v>
      </c>
      <c r="D121" s="22" t="s">
        <v>225</v>
      </c>
      <c r="E121" s="22"/>
      <c r="F121" s="119">
        <v>96640</v>
      </c>
    </row>
    <row r="122" spans="1:6" ht="18.75">
      <c r="A122" s="10" t="s">
        <v>296</v>
      </c>
      <c r="B122" s="27" t="s">
        <v>957</v>
      </c>
      <c r="C122" s="25" t="s">
        <v>199</v>
      </c>
      <c r="D122" s="25" t="s">
        <v>443</v>
      </c>
      <c r="E122" s="26" t="s">
        <v>170</v>
      </c>
      <c r="F122" s="119">
        <v>1.2929999999999999</v>
      </c>
    </row>
    <row r="123" spans="1:6" ht="18.75">
      <c r="A123" s="10" t="s">
        <v>297</v>
      </c>
      <c r="B123" s="27" t="s">
        <v>958</v>
      </c>
      <c r="C123" s="25" t="s">
        <v>200</v>
      </c>
      <c r="D123" s="25" t="s">
        <v>443</v>
      </c>
      <c r="E123" s="26" t="s">
        <v>170</v>
      </c>
      <c r="F123" s="119">
        <v>1.34</v>
      </c>
    </row>
    <row r="124" spans="1:6" ht="18.75">
      <c r="A124" s="10" t="s">
        <v>298</v>
      </c>
      <c r="B124" s="27" t="s">
        <v>958</v>
      </c>
      <c r="C124" s="25" t="s">
        <v>114</v>
      </c>
      <c r="D124" s="25" t="s">
        <v>625</v>
      </c>
      <c r="E124" s="26" t="s">
        <v>115</v>
      </c>
      <c r="F124" s="128">
        <f>F123*273*F121/101325/(273+F126)</f>
        <v>0.84480738686973877</v>
      </c>
    </row>
    <row r="125" spans="1:6">
      <c r="A125" s="10" t="s">
        <v>299</v>
      </c>
      <c r="B125" s="27" t="s">
        <v>171</v>
      </c>
      <c r="C125" s="25" t="s">
        <v>172</v>
      </c>
      <c r="D125" s="22" t="s">
        <v>334</v>
      </c>
      <c r="E125" s="27" t="s">
        <v>141</v>
      </c>
      <c r="F125" s="119">
        <v>20</v>
      </c>
    </row>
    <row r="126" spans="1:6">
      <c r="A126" s="10" t="s">
        <v>300</v>
      </c>
      <c r="B126" s="27" t="s">
        <v>173</v>
      </c>
      <c r="C126" s="25" t="s">
        <v>174</v>
      </c>
      <c r="D126" s="22" t="s">
        <v>334</v>
      </c>
      <c r="E126" s="27" t="s">
        <v>175</v>
      </c>
      <c r="F126" s="119">
        <v>140</v>
      </c>
    </row>
    <row r="127" spans="1:6">
      <c r="A127" s="10" t="s">
        <v>301</v>
      </c>
      <c r="B127" s="27" t="s">
        <v>176</v>
      </c>
      <c r="C127" s="26" t="s">
        <v>177</v>
      </c>
      <c r="D127" s="22" t="s">
        <v>334</v>
      </c>
      <c r="E127" s="27" t="s">
        <v>178</v>
      </c>
      <c r="F127" s="27">
        <v>0.1</v>
      </c>
    </row>
    <row r="128" spans="1:6">
      <c r="A128" s="10" t="s">
        <v>302</v>
      </c>
      <c r="B128" s="27" t="s">
        <v>179</v>
      </c>
      <c r="C128" s="26" t="s">
        <v>180</v>
      </c>
      <c r="D128" s="22" t="s">
        <v>334</v>
      </c>
      <c r="E128" s="22"/>
      <c r="F128" s="22">
        <f>F126-0.5*F127*F120</f>
        <v>136</v>
      </c>
    </row>
    <row r="129" spans="1:6" ht="18.75">
      <c r="A129" s="10" t="s">
        <v>303</v>
      </c>
      <c r="B129" s="27" t="s">
        <v>181</v>
      </c>
      <c r="C129" s="26" t="s">
        <v>182</v>
      </c>
      <c r="D129" s="22" t="s">
        <v>225</v>
      </c>
      <c r="E129" s="22"/>
      <c r="F129" s="126">
        <f>9.8*F120*(F122*273/(273+F125)-F124*273/(273+F128))*F121/101325</f>
        <v>479.19341989767997</v>
      </c>
    </row>
    <row r="130" spans="1:6">
      <c r="A130" s="123" t="s">
        <v>541</v>
      </c>
    </row>
    <row r="131" spans="1:6">
      <c r="A131" s="10" t="s">
        <v>321</v>
      </c>
      <c r="B131" s="27" t="s">
        <v>184</v>
      </c>
      <c r="C131" s="26" t="s">
        <v>261</v>
      </c>
      <c r="D131" s="27" t="s">
        <v>185</v>
      </c>
      <c r="E131" s="27" t="s">
        <v>190</v>
      </c>
      <c r="F131" s="28">
        <v>366930</v>
      </c>
    </row>
    <row r="132" spans="1:6">
      <c r="A132" s="10" t="s">
        <v>295</v>
      </c>
      <c r="B132" s="27" t="s">
        <v>186</v>
      </c>
      <c r="C132" s="26" t="s">
        <v>137</v>
      </c>
      <c r="D132" s="22" t="s">
        <v>334</v>
      </c>
      <c r="E132" s="27" t="s">
        <v>191</v>
      </c>
      <c r="F132" s="22">
        <f>F128</f>
        <v>136</v>
      </c>
    </row>
    <row r="133" spans="1:6">
      <c r="A133" s="10" t="s">
        <v>296</v>
      </c>
      <c r="B133" s="27" t="s">
        <v>187</v>
      </c>
      <c r="C133" s="26" t="s">
        <v>188</v>
      </c>
      <c r="D133" s="27" t="s">
        <v>133</v>
      </c>
      <c r="E133" s="27" t="s">
        <v>216</v>
      </c>
      <c r="F133" s="119">
        <v>20</v>
      </c>
    </row>
    <row r="134" spans="1:6">
      <c r="A134" s="10" t="s">
        <v>297</v>
      </c>
      <c r="B134" s="27" t="s">
        <v>192</v>
      </c>
      <c r="C134" s="26" t="s">
        <v>135</v>
      </c>
      <c r="D134" s="27" t="s">
        <v>138</v>
      </c>
      <c r="E134" s="22"/>
      <c r="F134" s="125">
        <f>SQRT(F131*(F132+273)/(3600*273*0.785*F133))</f>
        <v>3.1186803531232492</v>
      </c>
    </row>
    <row r="135" spans="1:6">
      <c r="A135" s="10" t="s">
        <v>298</v>
      </c>
      <c r="B135" s="27" t="s">
        <v>193</v>
      </c>
      <c r="C135" s="26" t="s">
        <v>194</v>
      </c>
      <c r="D135" s="27" t="s">
        <v>195</v>
      </c>
      <c r="E135" s="27" t="s">
        <v>189</v>
      </c>
      <c r="F135" s="117">
        <v>2900</v>
      </c>
    </row>
    <row r="136" spans="1:6">
      <c r="A136" s="10" t="s">
        <v>299</v>
      </c>
      <c r="B136" s="27" t="s">
        <v>196</v>
      </c>
      <c r="C136" s="26" t="s">
        <v>197</v>
      </c>
      <c r="D136" s="27" t="s">
        <v>195</v>
      </c>
      <c r="E136" s="27" t="s">
        <v>542</v>
      </c>
      <c r="F136" s="117">
        <f>F135+2*F135*0.02</f>
        <v>3016</v>
      </c>
    </row>
    <row r="137" spans="1:6">
      <c r="A137" s="10" t="s">
        <v>300</v>
      </c>
      <c r="B137" s="27" t="s">
        <v>963</v>
      </c>
      <c r="C137" s="26" t="s">
        <v>964</v>
      </c>
      <c r="D137" s="27" t="s">
        <v>185</v>
      </c>
      <c r="E137" s="22"/>
      <c r="F137" s="118">
        <f>0.3*F131</f>
        <v>110079</v>
      </c>
    </row>
    <row r="138" spans="1:6">
      <c r="A138" s="10" t="s">
        <v>301</v>
      </c>
      <c r="B138" s="27" t="s">
        <v>962</v>
      </c>
      <c r="C138" s="26" t="s">
        <v>172</v>
      </c>
      <c r="D138" s="22" t="s">
        <v>334</v>
      </c>
      <c r="E138" s="22"/>
      <c r="F138" s="119">
        <v>100</v>
      </c>
    </row>
    <row r="139" spans="1:6">
      <c r="A139" s="10" t="s">
        <v>302</v>
      </c>
      <c r="B139" s="27" t="s">
        <v>960</v>
      </c>
      <c r="C139" s="26" t="s">
        <v>961</v>
      </c>
      <c r="D139" s="27" t="s">
        <v>133</v>
      </c>
      <c r="E139" s="27" t="s">
        <v>965</v>
      </c>
      <c r="F139" s="33">
        <f>F137*(273+F138)/F134^2/3600/273/0.7854</f>
        <v>5.4690958401586895</v>
      </c>
    </row>
    <row r="140" spans="1:6">
      <c r="A140" s="123" t="s">
        <v>959</v>
      </c>
    </row>
    <row r="141" spans="1:6">
      <c r="A141" s="10" t="s">
        <v>321</v>
      </c>
      <c r="B141" s="27" t="s">
        <v>198</v>
      </c>
      <c r="C141" s="27" t="s">
        <v>201</v>
      </c>
      <c r="D141" s="22"/>
      <c r="E141" s="27" t="s">
        <v>202</v>
      </c>
      <c r="F141" s="22">
        <v>0.04</v>
      </c>
    </row>
    <row r="142" spans="1:6">
      <c r="A142" s="10" t="s">
        <v>295</v>
      </c>
      <c r="B142" s="27" t="s">
        <v>203</v>
      </c>
      <c r="C142" s="26" t="s">
        <v>188</v>
      </c>
      <c r="D142" s="27" t="s">
        <v>133</v>
      </c>
      <c r="E142" s="22"/>
      <c r="F142" s="22">
        <f>F133</f>
        <v>20</v>
      </c>
    </row>
    <row r="143" spans="1:6">
      <c r="A143" s="10" t="s">
        <v>296</v>
      </c>
      <c r="B143" s="27" t="s">
        <v>204</v>
      </c>
      <c r="C143" s="26" t="s">
        <v>205</v>
      </c>
      <c r="D143" s="27" t="s">
        <v>327</v>
      </c>
      <c r="E143" s="22"/>
      <c r="F143" s="22">
        <f>(F136+F135)/2/1000</f>
        <v>2.9580000000000002</v>
      </c>
    </row>
    <row r="144" spans="1:6">
      <c r="A144" s="10" t="s">
        <v>297</v>
      </c>
      <c r="B144" s="27" t="s">
        <v>206</v>
      </c>
      <c r="C144" s="22" t="s">
        <v>207</v>
      </c>
      <c r="D144" s="27" t="s">
        <v>208</v>
      </c>
      <c r="E144" s="22"/>
      <c r="F144" s="126">
        <f>F141*F120*F142*F142/F143/2*F124</f>
        <v>182.78455970136335</v>
      </c>
    </row>
    <row r="145" spans="1:6">
      <c r="A145" s="10" t="s">
        <v>298</v>
      </c>
      <c r="B145" s="27" t="s">
        <v>209</v>
      </c>
      <c r="C145" s="22" t="s">
        <v>210</v>
      </c>
      <c r="D145" s="22"/>
      <c r="E145" s="22" t="s">
        <v>211</v>
      </c>
      <c r="F145" s="22">
        <v>1</v>
      </c>
    </row>
    <row r="146" spans="1:6">
      <c r="A146" s="10" t="s">
        <v>299</v>
      </c>
      <c r="B146" s="27" t="s">
        <v>213</v>
      </c>
      <c r="C146" s="22" t="s">
        <v>212</v>
      </c>
      <c r="D146" s="27" t="s">
        <v>208</v>
      </c>
      <c r="E146" s="22"/>
      <c r="F146" s="33">
        <f>F145*F142*F142/2*F124</f>
        <v>168.96147737394776</v>
      </c>
    </row>
    <row r="147" spans="1:6">
      <c r="A147" s="10" t="s">
        <v>300</v>
      </c>
      <c r="B147" s="27" t="s">
        <v>214</v>
      </c>
      <c r="C147" s="22" t="s">
        <v>215</v>
      </c>
      <c r="D147" s="27" t="s">
        <v>208</v>
      </c>
      <c r="E147" s="22"/>
      <c r="F147" s="127">
        <f>F146+F144</f>
        <v>351.74603707531111</v>
      </c>
    </row>
    <row r="149" spans="1:6">
      <c r="D149" s="110"/>
    </row>
  </sheetData>
  <mergeCells count="4">
    <mergeCell ref="A54:A55"/>
    <mergeCell ref="B54:B55"/>
    <mergeCell ref="B33:B34"/>
    <mergeCell ref="A33:A34"/>
  </mergeCells>
  <phoneticPr fontId="3" type="noConversion"/>
  <pageMargins left="0.75" right="0.75" top="1" bottom="1" header="0.5" footer="0.5"/>
  <pageSetup paperSize="9" orientation="portrait" horizontalDpi="96" verticalDpi="96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>
    <tabColor theme="8" tint="-0.499984740745262"/>
  </sheetPr>
  <dimension ref="A1:J107"/>
  <sheetViews>
    <sheetView topLeftCell="A22" workbookViewId="0">
      <selection activeCell="D112" sqref="D112"/>
    </sheetView>
  </sheetViews>
  <sheetFormatPr defaultRowHeight="20.100000000000001" customHeight="1"/>
  <cols>
    <col min="1" max="1" width="10.625" style="109" customWidth="1"/>
    <col min="2" max="2" width="35.625" style="43" customWidth="1"/>
    <col min="3" max="4" width="10.625" style="77" customWidth="1"/>
    <col min="5" max="5" width="20.625" style="77" customWidth="1"/>
    <col min="6" max="6" width="20.625" style="78" customWidth="1"/>
    <col min="7" max="8" width="20.625" style="77" customWidth="1"/>
    <col min="9" max="9" width="14.75" style="43" customWidth="1"/>
    <col min="10" max="10" width="9.75" style="43" bestFit="1" customWidth="1"/>
    <col min="11" max="16384" width="9" style="43"/>
  </cols>
  <sheetData>
    <row r="1" spans="1:10" ht="20.100000000000001" customHeight="1">
      <c r="A1" s="79" t="s">
        <v>766</v>
      </c>
      <c r="B1" s="79" t="s">
        <v>767</v>
      </c>
      <c r="C1" s="79" t="s">
        <v>768</v>
      </c>
      <c r="D1" s="80" t="s">
        <v>769</v>
      </c>
      <c r="E1" s="79" t="s">
        <v>770</v>
      </c>
      <c r="F1" s="81" t="s">
        <v>771</v>
      </c>
      <c r="H1" s="82" t="s">
        <v>772</v>
      </c>
    </row>
    <row r="2" spans="1:10" ht="20.100000000000001" customHeight="1">
      <c r="A2" s="79"/>
      <c r="B2" s="45" t="s">
        <v>773</v>
      </c>
      <c r="C2" s="46"/>
      <c r="D2" s="46" t="s">
        <v>774</v>
      </c>
      <c r="E2" s="46"/>
      <c r="F2" s="47" t="s">
        <v>775</v>
      </c>
      <c r="G2" s="77" t="s">
        <v>776</v>
      </c>
      <c r="H2" s="82" t="s">
        <v>777</v>
      </c>
    </row>
    <row r="3" spans="1:10" ht="20.100000000000001" customHeight="1">
      <c r="A3" s="79"/>
      <c r="B3" s="45" t="s">
        <v>759</v>
      </c>
      <c r="C3" s="45"/>
      <c r="D3" s="45"/>
      <c r="E3" s="45"/>
      <c r="F3" s="83"/>
      <c r="H3" s="84"/>
      <c r="I3" s="85"/>
    </row>
    <row r="4" spans="1:10" ht="20.100000000000001" customHeight="1">
      <c r="A4" s="80">
        <v>1</v>
      </c>
      <c r="B4" s="49" t="s">
        <v>778</v>
      </c>
      <c r="C4" s="50"/>
      <c r="D4" s="50"/>
      <c r="E4" s="50"/>
      <c r="F4" s="51"/>
      <c r="H4" s="84"/>
      <c r="I4" s="85"/>
    </row>
    <row r="5" spans="1:10" ht="20.100000000000001" customHeight="1">
      <c r="A5" s="79"/>
      <c r="B5" s="45" t="s">
        <v>779</v>
      </c>
      <c r="C5" s="53" t="s">
        <v>780</v>
      </c>
      <c r="D5" s="53" t="s">
        <v>781</v>
      </c>
      <c r="E5" s="46" t="s">
        <v>951</v>
      </c>
      <c r="F5" s="47">
        <v>150</v>
      </c>
      <c r="H5" s="86"/>
    </row>
    <row r="6" spans="1:10" ht="20.100000000000001" customHeight="1">
      <c r="A6" s="79"/>
      <c r="B6" s="45" t="s">
        <v>783</v>
      </c>
      <c r="C6" s="46" t="s">
        <v>784</v>
      </c>
      <c r="D6" s="53" t="s">
        <v>785</v>
      </c>
      <c r="E6" s="46" t="s">
        <v>948</v>
      </c>
      <c r="F6" s="47">
        <f>烟风系统!G14</f>
        <v>328758.46441336442</v>
      </c>
      <c r="H6" s="87"/>
    </row>
    <row r="7" spans="1:10" ht="20.100000000000001" customHeight="1">
      <c r="A7" s="79"/>
      <c r="B7" s="61" t="s">
        <v>786</v>
      </c>
      <c r="C7" s="53" t="s">
        <v>787</v>
      </c>
      <c r="D7" s="53" t="s">
        <v>788</v>
      </c>
      <c r="E7" s="53" t="s">
        <v>950</v>
      </c>
      <c r="F7" s="62">
        <v>1.34</v>
      </c>
      <c r="H7" s="88"/>
    </row>
    <row r="8" spans="1:10" ht="20.100000000000001" customHeight="1">
      <c r="A8" s="79"/>
      <c r="B8" s="61" t="s">
        <v>789</v>
      </c>
      <c r="C8" s="53" t="s">
        <v>790</v>
      </c>
      <c r="D8" s="53" t="s">
        <v>774</v>
      </c>
      <c r="E8" s="53" t="s">
        <v>791</v>
      </c>
      <c r="F8" s="89">
        <v>13</v>
      </c>
      <c r="H8" s="90"/>
    </row>
    <row r="9" spans="1:10" ht="20.100000000000001" customHeight="1">
      <c r="A9" s="79"/>
      <c r="B9" s="61" t="s">
        <v>792</v>
      </c>
      <c r="C9" s="53" t="s">
        <v>793</v>
      </c>
      <c r="D9" s="53" t="s">
        <v>794</v>
      </c>
      <c r="E9" s="53" t="s">
        <v>795</v>
      </c>
      <c r="F9" s="62">
        <f>F7*F8^2/2</f>
        <v>113.23</v>
      </c>
      <c r="G9" s="77" t="s">
        <v>796</v>
      </c>
      <c r="H9" s="91"/>
    </row>
    <row r="10" spans="1:10" ht="20.100000000000001" customHeight="1">
      <c r="A10" s="79"/>
      <c r="B10" s="45" t="s">
        <v>797</v>
      </c>
      <c r="C10" s="46" t="s">
        <v>798</v>
      </c>
      <c r="D10" s="46" t="s">
        <v>799</v>
      </c>
      <c r="E10" s="46" t="s">
        <v>800</v>
      </c>
      <c r="F10" s="47">
        <f>F6/F8/3600</f>
        <v>7.0247535131060772</v>
      </c>
      <c r="H10" s="92"/>
      <c r="I10" s="93"/>
      <c r="J10" s="93"/>
    </row>
    <row r="11" spans="1:10" ht="20.100000000000001" customHeight="1">
      <c r="A11" s="79"/>
      <c r="B11" s="45" t="s">
        <v>801</v>
      </c>
      <c r="C11" s="46" t="s">
        <v>802</v>
      </c>
      <c r="D11" s="46" t="s">
        <v>803</v>
      </c>
      <c r="E11" s="46"/>
      <c r="F11" s="47">
        <v>2</v>
      </c>
    </row>
    <row r="12" spans="1:10" ht="20.100000000000001" customHeight="1">
      <c r="A12" s="79"/>
      <c r="B12" s="45" t="s">
        <v>804</v>
      </c>
      <c r="C12" s="46" t="s">
        <v>805</v>
      </c>
      <c r="D12" s="46" t="s">
        <v>803</v>
      </c>
      <c r="E12" s="46" t="s">
        <v>806</v>
      </c>
      <c r="F12" s="47">
        <f>F10/F11</f>
        <v>3.5123767565530386</v>
      </c>
    </row>
    <row r="13" spans="1:10" ht="20.100000000000001" customHeight="1">
      <c r="A13" s="79"/>
      <c r="B13" s="45" t="s">
        <v>807</v>
      </c>
      <c r="C13" s="46" t="s">
        <v>808</v>
      </c>
      <c r="D13" s="46" t="s">
        <v>803</v>
      </c>
      <c r="E13" s="46" t="s">
        <v>809</v>
      </c>
      <c r="F13" s="47">
        <f>2*(F11+F12)</f>
        <v>11.024753513106077</v>
      </c>
      <c r="H13" s="92"/>
      <c r="I13" s="93"/>
      <c r="J13" s="93"/>
    </row>
    <row r="14" spans="1:10" ht="20.100000000000001" customHeight="1">
      <c r="A14" s="79"/>
      <c r="B14" s="45" t="s">
        <v>810</v>
      </c>
      <c r="C14" s="46" t="s">
        <v>811</v>
      </c>
      <c r="D14" s="46" t="s">
        <v>803</v>
      </c>
      <c r="E14" s="46" t="s">
        <v>812</v>
      </c>
      <c r="F14" s="47">
        <f>4*F10/F13</f>
        <v>2.5487203880812919</v>
      </c>
      <c r="G14" s="77" t="s">
        <v>796</v>
      </c>
      <c r="H14" s="92"/>
      <c r="I14" s="93"/>
      <c r="J14" s="93"/>
    </row>
    <row r="15" spans="1:10" ht="20.100000000000001" customHeight="1">
      <c r="A15" s="79"/>
      <c r="B15" s="45" t="s">
        <v>813</v>
      </c>
      <c r="C15" s="57" t="s">
        <v>814</v>
      </c>
      <c r="D15" s="46" t="s">
        <v>815</v>
      </c>
      <c r="E15" s="46"/>
      <c r="F15" s="58">
        <f>((34.94-23.08)*(F5-100)/100+23.08)/1000000</f>
        <v>2.9009999999999998E-5</v>
      </c>
      <c r="G15" s="77" t="s">
        <v>816</v>
      </c>
    </row>
    <row r="16" spans="1:10" ht="20.100000000000001" customHeight="1">
      <c r="A16" s="79"/>
      <c r="B16" s="45" t="s">
        <v>817</v>
      </c>
      <c r="C16" s="46" t="s">
        <v>818</v>
      </c>
      <c r="D16" s="46"/>
      <c r="E16" s="46" t="s">
        <v>819</v>
      </c>
      <c r="F16" s="47">
        <f>$F$8*F14/F15</f>
        <v>1142135.9891436331</v>
      </c>
      <c r="G16" s="77" t="s">
        <v>796</v>
      </c>
      <c r="H16" s="87"/>
      <c r="I16" s="94"/>
      <c r="J16" s="94"/>
    </row>
    <row r="17" spans="1:9" ht="20.100000000000001" customHeight="1">
      <c r="A17" s="79"/>
      <c r="B17" s="59" t="s">
        <v>820</v>
      </c>
      <c r="C17" s="57" t="s">
        <v>821</v>
      </c>
      <c r="D17" s="46" t="s">
        <v>803</v>
      </c>
      <c r="E17" s="46"/>
      <c r="F17" s="58">
        <v>3.3E-4</v>
      </c>
      <c r="G17" s="77" t="s">
        <v>822</v>
      </c>
    </row>
    <row r="18" spans="1:9" ht="20.100000000000001" customHeight="1">
      <c r="A18" s="79"/>
      <c r="B18" s="59" t="s">
        <v>823</v>
      </c>
      <c r="C18" s="57" t="s">
        <v>824</v>
      </c>
      <c r="D18" s="46" t="s">
        <v>803</v>
      </c>
      <c r="E18" s="57" t="s">
        <v>825</v>
      </c>
      <c r="F18" s="58">
        <f>F17/F14</f>
        <v>1.2947673724555877E-4</v>
      </c>
      <c r="G18" s="77" t="s">
        <v>826</v>
      </c>
    </row>
    <row r="19" spans="1:9" ht="20.100000000000001" customHeight="1">
      <c r="A19" s="79"/>
      <c r="B19" s="45" t="s">
        <v>827</v>
      </c>
      <c r="C19" s="46"/>
      <c r="D19" s="46"/>
      <c r="E19" s="46"/>
      <c r="F19" s="47">
        <f>560/F18</f>
        <v>4325101.2646227982</v>
      </c>
    </row>
    <row r="20" spans="1:9" ht="20.100000000000001" customHeight="1">
      <c r="A20" s="79"/>
      <c r="B20" s="45" t="s">
        <v>828</v>
      </c>
      <c r="C20" s="46"/>
      <c r="D20" s="46"/>
      <c r="E20" s="46" t="s">
        <v>829</v>
      </c>
      <c r="F20" s="47" t="s">
        <v>830</v>
      </c>
      <c r="G20" s="77" t="s">
        <v>796</v>
      </c>
    </row>
    <row r="21" spans="1:9" ht="20.100000000000001" customHeight="1">
      <c r="A21" s="79">
        <v>1.1000000000000001</v>
      </c>
      <c r="B21" s="61" t="s">
        <v>831</v>
      </c>
      <c r="C21" s="57" t="s">
        <v>832</v>
      </c>
      <c r="D21" s="46" t="s">
        <v>794</v>
      </c>
      <c r="E21" s="57" t="s">
        <v>833</v>
      </c>
      <c r="F21" s="62">
        <f>F24*F23</f>
        <v>14.216388808062664</v>
      </c>
      <c r="G21" s="77" t="s">
        <v>796</v>
      </c>
      <c r="H21" s="91"/>
      <c r="I21" s="95"/>
    </row>
    <row r="22" spans="1:9" ht="20.100000000000001" customHeight="1">
      <c r="A22" s="79"/>
      <c r="B22" s="61" t="s">
        <v>834</v>
      </c>
      <c r="C22" s="57" t="s">
        <v>835</v>
      </c>
      <c r="D22" s="53"/>
      <c r="E22" s="53" t="s">
        <v>836</v>
      </c>
      <c r="F22" s="89">
        <v>1.6E-2</v>
      </c>
      <c r="G22" s="77" t="s">
        <v>837</v>
      </c>
      <c r="H22" s="96"/>
      <c r="I22" s="97"/>
    </row>
    <row r="23" spans="1:9" ht="20.100000000000001" customHeight="1">
      <c r="A23" s="79"/>
      <c r="B23" s="45" t="s">
        <v>838</v>
      </c>
      <c r="C23" s="57" t="s">
        <v>839</v>
      </c>
      <c r="D23" s="46" t="s">
        <v>840</v>
      </c>
      <c r="E23" s="57" t="s">
        <v>841</v>
      </c>
      <c r="F23" s="47">
        <f>F22*$F$9/F14</f>
        <v>0.71081944040313316</v>
      </c>
      <c r="G23" s="77" t="s">
        <v>796</v>
      </c>
      <c r="H23" s="98"/>
      <c r="I23" s="99"/>
    </row>
    <row r="24" spans="1:9" ht="20.100000000000001" customHeight="1">
      <c r="A24" s="79"/>
      <c r="B24" s="45" t="s">
        <v>842</v>
      </c>
      <c r="C24" s="46" t="s">
        <v>843</v>
      </c>
      <c r="D24" s="46" t="s">
        <v>803</v>
      </c>
      <c r="E24" s="46" t="s">
        <v>844</v>
      </c>
      <c r="F24" s="89">
        <v>20</v>
      </c>
    </row>
    <row r="25" spans="1:9" ht="20.100000000000001" customHeight="1">
      <c r="A25" s="79">
        <v>1.2</v>
      </c>
      <c r="B25" s="61" t="s">
        <v>845</v>
      </c>
      <c r="C25" s="57" t="s">
        <v>846</v>
      </c>
      <c r="D25" s="46"/>
      <c r="E25" s="46" t="s">
        <v>847</v>
      </c>
      <c r="F25" s="47">
        <f>F26*$F$9</f>
        <v>263.82589999999999</v>
      </c>
      <c r="H25" s="91"/>
      <c r="I25" s="95"/>
    </row>
    <row r="26" spans="1:9" ht="20.100000000000001" customHeight="1">
      <c r="A26" s="79"/>
      <c r="B26" s="61" t="s">
        <v>848</v>
      </c>
      <c r="C26" s="46" t="s">
        <v>849</v>
      </c>
      <c r="D26" s="46"/>
      <c r="E26" s="57" t="s">
        <v>850</v>
      </c>
      <c r="F26" s="62">
        <f>F27+F31+F35</f>
        <v>2.33</v>
      </c>
      <c r="H26" s="96"/>
      <c r="I26" s="97"/>
    </row>
    <row r="27" spans="1:9" ht="20.100000000000001" customHeight="1">
      <c r="A27" s="79" t="s">
        <v>851</v>
      </c>
      <c r="B27" s="63" t="s">
        <v>852</v>
      </c>
      <c r="C27" s="57" t="s">
        <v>853</v>
      </c>
      <c r="D27" s="46"/>
      <c r="E27" s="57" t="s">
        <v>854</v>
      </c>
      <c r="F27" s="47">
        <f>F28</f>
        <v>0.91499999999999992</v>
      </c>
      <c r="G27" s="77" t="s">
        <v>855</v>
      </c>
    </row>
    <row r="28" spans="1:9" ht="20.100000000000001" customHeight="1">
      <c r="A28" s="79"/>
      <c r="B28" s="59" t="s">
        <v>856</v>
      </c>
      <c r="C28" s="57" t="s">
        <v>857</v>
      </c>
      <c r="D28" s="46"/>
      <c r="E28" s="57" t="s">
        <v>858</v>
      </c>
      <c r="F28" s="47">
        <f>F29*F30</f>
        <v>0.91499999999999992</v>
      </c>
      <c r="G28" s="77" t="s">
        <v>859</v>
      </c>
    </row>
    <row r="29" spans="1:9" ht="20.100000000000001" customHeight="1">
      <c r="A29" s="79"/>
      <c r="B29" s="59" t="s">
        <v>860</v>
      </c>
      <c r="C29" s="57" t="s">
        <v>861</v>
      </c>
      <c r="D29" s="46"/>
      <c r="E29" s="46" t="s">
        <v>862</v>
      </c>
      <c r="F29" s="89">
        <v>0.3</v>
      </c>
      <c r="G29" s="77" t="s">
        <v>863</v>
      </c>
    </row>
    <row r="30" spans="1:9" ht="20.100000000000001" customHeight="1">
      <c r="A30" s="79"/>
      <c r="B30" s="100" t="s">
        <v>864</v>
      </c>
      <c r="C30" s="57" t="s">
        <v>865</v>
      </c>
      <c r="D30" s="46"/>
      <c r="E30" s="46" t="s">
        <v>866</v>
      </c>
      <c r="F30" s="47">
        <v>3.05</v>
      </c>
      <c r="G30" s="77" t="s">
        <v>867</v>
      </c>
    </row>
    <row r="31" spans="1:9" ht="20.100000000000001" customHeight="1">
      <c r="A31" s="79" t="s">
        <v>868</v>
      </c>
      <c r="B31" s="63" t="s">
        <v>869</v>
      </c>
      <c r="C31" s="57" t="s">
        <v>870</v>
      </c>
      <c r="D31" s="46"/>
      <c r="E31" s="46"/>
      <c r="F31" s="47">
        <f>F32</f>
        <v>1.2149999999999999</v>
      </c>
      <c r="G31" s="77" t="s">
        <v>855</v>
      </c>
    </row>
    <row r="32" spans="1:9" ht="20.100000000000001" customHeight="1">
      <c r="A32" s="79"/>
      <c r="B32" s="59" t="s">
        <v>856</v>
      </c>
      <c r="C32" s="57" t="s">
        <v>871</v>
      </c>
      <c r="D32" s="46"/>
      <c r="E32" s="57" t="s">
        <v>858</v>
      </c>
      <c r="F32" s="47">
        <f>F33*(1+F34)</f>
        <v>1.2149999999999999</v>
      </c>
      <c r="G32" s="77" t="s">
        <v>859</v>
      </c>
    </row>
    <row r="33" spans="1:10" ht="20.100000000000001" customHeight="1">
      <c r="A33" s="79"/>
      <c r="B33" s="59" t="s">
        <v>860</v>
      </c>
      <c r="C33" s="57" t="s">
        <v>861</v>
      </c>
      <c r="D33" s="46"/>
      <c r="E33" s="46" t="s">
        <v>862</v>
      </c>
      <c r="F33" s="89">
        <v>0.3</v>
      </c>
      <c r="G33" s="77" t="s">
        <v>863</v>
      </c>
    </row>
    <row r="34" spans="1:10" ht="20.100000000000001" customHeight="1">
      <c r="A34" s="79"/>
      <c r="B34" s="100" t="s">
        <v>864</v>
      </c>
      <c r="C34" s="57" t="s">
        <v>865</v>
      </c>
      <c r="D34" s="46"/>
      <c r="E34" s="46" t="s">
        <v>866</v>
      </c>
      <c r="F34" s="89">
        <v>3.05</v>
      </c>
      <c r="G34" s="77" t="s">
        <v>867</v>
      </c>
    </row>
    <row r="35" spans="1:10" ht="20.100000000000001" customHeight="1">
      <c r="A35" s="79" t="s">
        <v>872</v>
      </c>
      <c r="B35" s="63" t="s">
        <v>873</v>
      </c>
      <c r="C35" s="57" t="s">
        <v>874</v>
      </c>
      <c r="D35" s="46"/>
      <c r="E35" s="46"/>
      <c r="F35" s="89">
        <v>0.2</v>
      </c>
      <c r="G35" s="77" t="s">
        <v>875</v>
      </c>
    </row>
    <row r="36" spans="1:10" ht="20.100000000000001" customHeight="1">
      <c r="A36" s="101">
        <v>1.3</v>
      </c>
      <c r="B36" s="59" t="s">
        <v>876</v>
      </c>
      <c r="C36" s="57" t="s">
        <v>877</v>
      </c>
      <c r="D36" s="57"/>
      <c r="E36" s="57" t="s">
        <v>878</v>
      </c>
      <c r="F36" s="67">
        <f>F25+H25+I25+F21+H21+I21</f>
        <v>278.04228880806266</v>
      </c>
      <c r="H36" s="91"/>
    </row>
    <row r="37" spans="1:10" ht="20.100000000000001" customHeight="1">
      <c r="A37" s="101">
        <v>2</v>
      </c>
      <c r="B37" s="66" t="s">
        <v>760</v>
      </c>
      <c r="C37" s="57"/>
      <c r="D37" s="57"/>
      <c r="E37" s="57"/>
      <c r="F37" s="67"/>
    </row>
    <row r="38" spans="1:10" ht="20.100000000000001" customHeight="1">
      <c r="A38" s="79"/>
      <c r="B38" s="45" t="s">
        <v>879</v>
      </c>
      <c r="C38" s="53" t="s">
        <v>880</v>
      </c>
      <c r="D38" s="53" t="s">
        <v>781</v>
      </c>
      <c r="E38" s="46" t="s">
        <v>782</v>
      </c>
      <c r="F38" s="47">
        <f>'[12]04-烟风量'!F112</f>
        <v>132.14230471771077</v>
      </c>
      <c r="H38" s="86"/>
    </row>
    <row r="39" spans="1:10" ht="20.100000000000001" customHeight="1">
      <c r="A39" s="79"/>
      <c r="B39" s="45" t="s">
        <v>881</v>
      </c>
      <c r="C39" s="46" t="s">
        <v>882</v>
      </c>
      <c r="D39" s="53" t="s">
        <v>785</v>
      </c>
      <c r="E39" s="46" t="s">
        <v>782</v>
      </c>
      <c r="F39" s="47">
        <f>'[12]04-烟风量'!F117</f>
        <v>167700.8555556667</v>
      </c>
      <c r="H39" s="87"/>
    </row>
    <row r="40" spans="1:10" ht="20.100000000000001" customHeight="1">
      <c r="A40" s="79"/>
      <c r="B40" s="59" t="s">
        <v>786</v>
      </c>
      <c r="C40" s="57" t="s">
        <v>883</v>
      </c>
      <c r="D40" s="57" t="s">
        <v>788</v>
      </c>
      <c r="E40" s="57" t="s">
        <v>782</v>
      </c>
      <c r="F40" s="67">
        <f>'[12]04-烟风量'!F118</f>
        <v>0.86538987639951559</v>
      </c>
      <c r="H40" s="88"/>
    </row>
    <row r="41" spans="1:10" ht="20.100000000000001" customHeight="1">
      <c r="A41" s="79"/>
      <c r="B41" s="61" t="s">
        <v>789</v>
      </c>
      <c r="C41" s="53" t="s">
        <v>790</v>
      </c>
      <c r="D41" s="53" t="s">
        <v>774</v>
      </c>
      <c r="E41" s="53" t="s">
        <v>791</v>
      </c>
      <c r="F41" s="89">
        <v>13</v>
      </c>
      <c r="H41" s="90"/>
    </row>
    <row r="42" spans="1:10" ht="20.100000000000001" customHeight="1">
      <c r="A42" s="79"/>
      <c r="B42" s="61" t="s">
        <v>792</v>
      </c>
      <c r="C42" s="53" t="s">
        <v>793</v>
      </c>
      <c r="D42" s="53" t="s">
        <v>794</v>
      </c>
      <c r="E42" s="53" t="s">
        <v>795</v>
      </c>
      <c r="F42" s="62">
        <f>$F$40*F41^2/2</f>
        <v>73.125444555759074</v>
      </c>
      <c r="G42" s="77" t="s">
        <v>796</v>
      </c>
      <c r="H42" s="91"/>
    </row>
    <row r="43" spans="1:10" ht="20.100000000000001" customHeight="1">
      <c r="A43" s="79"/>
      <c r="B43" s="45" t="s">
        <v>797</v>
      </c>
      <c r="C43" s="46" t="s">
        <v>798</v>
      </c>
      <c r="D43" s="46" t="s">
        <v>884</v>
      </c>
      <c r="E43" s="46" t="s">
        <v>800</v>
      </c>
      <c r="F43" s="47">
        <f>$F$39/F41/3600</f>
        <v>3.5833516144373228</v>
      </c>
      <c r="H43" s="92"/>
      <c r="I43" s="93"/>
      <c r="J43" s="93"/>
    </row>
    <row r="44" spans="1:10" ht="20.100000000000001" customHeight="1">
      <c r="A44" s="79"/>
      <c r="B44" s="45" t="s">
        <v>801</v>
      </c>
      <c r="C44" s="46" t="s">
        <v>802</v>
      </c>
      <c r="D44" s="46" t="s">
        <v>803</v>
      </c>
      <c r="E44" s="46"/>
      <c r="F44" s="47">
        <v>2</v>
      </c>
    </row>
    <row r="45" spans="1:10" ht="20.100000000000001" customHeight="1">
      <c r="A45" s="79"/>
      <c r="B45" s="45" t="s">
        <v>804</v>
      </c>
      <c r="C45" s="46" t="s">
        <v>805</v>
      </c>
      <c r="D45" s="46" t="s">
        <v>803</v>
      </c>
      <c r="E45" s="46" t="s">
        <v>806</v>
      </c>
      <c r="F45" s="47">
        <f>F43/F44</f>
        <v>1.7916758072186614</v>
      </c>
    </row>
    <row r="46" spans="1:10" ht="20.100000000000001" customHeight="1">
      <c r="A46" s="79"/>
      <c r="B46" s="45" t="s">
        <v>807</v>
      </c>
      <c r="C46" s="46" t="s">
        <v>808</v>
      </c>
      <c r="D46" s="46" t="s">
        <v>803</v>
      </c>
      <c r="E46" s="46" t="s">
        <v>809</v>
      </c>
      <c r="F46" s="47">
        <f>2*(F44+F45)</f>
        <v>7.5833516144373228</v>
      </c>
      <c r="H46" s="92"/>
      <c r="I46" s="93"/>
      <c r="J46" s="93"/>
    </row>
    <row r="47" spans="1:10" ht="20.100000000000001" customHeight="1">
      <c r="A47" s="79"/>
      <c r="B47" s="45" t="s">
        <v>810</v>
      </c>
      <c r="C47" s="46" t="s">
        <v>811</v>
      </c>
      <c r="D47" s="46" t="s">
        <v>803</v>
      </c>
      <c r="E47" s="46" t="s">
        <v>812</v>
      </c>
      <c r="F47" s="47">
        <f>4*F43/F46</f>
        <v>1.8901149763992338</v>
      </c>
      <c r="G47" s="77" t="s">
        <v>796</v>
      </c>
      <c r="H47" s="92"/>
      <c r="I47" s="93"/>
      <c r="J47" s="93"/>
    </row>
    <row r="48" spans="1:10" ht="20.100000000000001" customHeight="1">
      <c r="A48" s="79"/>
      <c r="B48" s="45" t="s">
        <v>813</v>
      </c>
      <c r="C48" s="57" t="s">
        <v>814</v>
      </c>
      <c r="D48" s="46" t="s">
        <v>815</v>
      </c>
      <c r="E48" s="46"/>
      <c r="F48" s="58">
        <f>((34.94-23.08)*(F38-100)/100+23.08)/1000000</f>
        <v>2.6892077339520499E-5</v>
      </c>
      <c r="G48" s="77" t="s">
        <v>816</v>
      </c>
    </row>
    <row r="49" spans="1:10" ht="20.100000000000001" customHeight="1">
      <c r="A49" s="79"/>
      <c r="B49" s="45" t="s">
        <v>817</v>
      </c>
      <c r="C49" s="46" t="s">
        <v>818</v>
      </c>
      <c r="D49" s="46"/>
      <c r="E49" s="46" t="s">
        <v>819</v>
      </c>
      <c r="F49" s="47">
        <f>$F$8*F47/F48</f>
        <v>913707.57204687421</v>
      </c>
      <c r="G49" s="77" t="s">
        <v>796</v>
      </c>
      <c r="H49" s="87"/>
      <c r="I49" s="94"/>
      <c r="J49" s="94"/>
    </row>
    <row r="50" spans="1:10" ht="20.100000000000001" customHeight="1">
      <c r="A50" s="79"/>
      <c r="B50" s="59" t="s">
        <v>820</v>
      </c>
      <c r="C50" s="57" t="s">
        <v>821</v>
      </c>
      <c r="D50" s="46" t="s">
        <v>803</v>
      </c>
      <c r="E50" s="46"/>
      <c r="F50" s="58">
        <v>3.3E-4</v>
      </c>
      <c r="G50" s="77" t="s">
        <v>822</v>
      </c>
    </row>
    <row r="51" spans="1:10" ht="20.100000000000001" customHeight="1">
      <c r="A51" s="79"/>
      <c r="B51" s="59" t="s">
        <v>823</v>
      </c>
      <c r="C51" s="57" t="s">
        <v>824</v>
      </c>
      <c r="D51" s="46" t="s">
        <v>803</v>
      </c>
      <c r="E51" s="57" t="s">
        <v>825</v>
      </c>
      <c r="F51" s="58">
        <f>F50/F47</f>
        <v>1.7459255342691744E-4</v>
      </c>
      <c r="G51" s="77" t="s">
        <v>826</v>
      </c>
    </row>
    <row r="52" spans="1:10" ht="20.100000000000001" customHeight="1">
      <c r="A52" s="79"/>
      <c r="B52" s="45" t="s">
        <v>827</v>
      </c>
      <c r="C52" s="46"/>
      <c r="D52" s="46"/>
      <c r="E52" s="46"/>
      <c r="F52" s="47">
        <f>560/F51</f>
        <v>3207467.8387380936</v>
      </c>
    </row>
    <row r="53" spans="1:10" ht="20.100000000000001" customHeight="1">
      <c r="A53" s="79"/>
      <c r="B53" s="45" t="s">
        <v>828</v>
      </c>
      <c r="C53" s="46"/>
      <c r="D53" s="46"/>
      <c r="E53" s="46" t="s">
        <v>829</v>
      </c>
      <c r="F53" s="47" t="s">
        <v>830</v>
      </c>
      <c r="G53" s="77" t="s">
        <v>796</v>
      </c>
    </row>
    <row r="54" spans="1:10" ht="20.100000000000001" customHeight="1">
      <c r="A54" s="101">
        <v>2.1</v>
      </c>
      <c r="B54" s="61" t="s">
        <v>831</v>
      </c>
      <c r="C54" s="57" t="s">
        <v>885</v>
      </c>
      <c r="D54" s="46" t="s">
        <v>794</v>
      </c>
      <c r="E54" s="57" t="s">
        <v>886</v>
      </c>
      <c r="F54" s="62">
        <f>F57*F56</f>
        <v>14.377538054203537</v>
      </c>
      <c r="G54" s="77" t="s">
        <v>796</v>
      </c>
      <c r="H54" s="87"/>
      <c r="I54" s="94"/>
    </row>
    <row r="55" spans="1:10" ht="20.100000000000001" customHeight="1">
      <c r="A55" s="79"/>
      <c r="B55" s="61" t="s">
        <v>834</v>
      </c>
      <c r="C55" s="57" t="s">
        <v>835</v>
      </c>
      <c r="D55" s="53"/>
      <c r="E55" s="53" t="s">
        <v>836</v>
      </c>
      <c r="F55" s="62">
        <v>1.6E-2</v>
      </c>
      <c r="G55" s="77" t="s">
        <v>837</v>
      </c>
      <c r="H55" s="90"/>
    </row>
    <row r="56" spans="1:10" ht="20.100000000000001" customHeight="1">
      <c r="A56" s="79"/>
      <c r="B56" s="45" t="s">
        <v>838</v>
      </c>
      <c r="C56" s="57" t="s">
        <v>839</v>
      </c>
      <c r="D56" s="46" t="s">
        <v>840</v>
      </c>
      <c r="E56" s="57" t="s">
        <v>841</v>
      </c>
      <c r="F56" s="47">
        <f>F55*$F$9/F47</f>
        <v>0.95850253694690246</v>
      </c>
      <c r="G56" s="77" t="s">
        <v>796</v>
      </c>
      <c r="H56" s="98"/>
      <c r="I56" s="99"/>
    </row>
    <row r="57" spans="1:10" ht="20.100000000000001" customHeight="1">
      <c r="A57" s="79"/>
      <c r="B57" s="45" t="s">
        <v>842</v>
      </c>
      <c r="C57" s="46" t="s">
        <v>887</v>
      </c>
      <c r="D57" s="46" t="s">
        <v>803</v>
      </c>
      <c r="E57" s="46" t="s">
        <v>844</v>
      </c>
      <c r="F57" s="89">
        <v>15</v>
      </c>
    </row>
    <row r="58" spans="1:10" ht="20.100000000000001" customHeight="1">
      <c r="A58" s="79">
        <v>2.2000000000000002</v>
      </c>
      <c r="B58" s="61" t="s">
        <v>845</v>
      </c>
      <c r="C58" s="57" t="s">
        <v>888</v>
      </c>
      <c r="D58" s="46"/>
      <c r="E58" s="46" t="s">
        <v>847</v>
      </c>
      <c r="F58" s="47">
        <f>F59*$F$9</f>
        <v>261.90098999999998</v>
      </c>
      <c r="H58" s="87"/>
      <c r="I58" s="94"/>
    </row>
    <row r="59" spans="1:10" ht="20.100000000000001" customHeight="1">
      <c r="A59" s="79"/>
      <c r="B59" s="61" t="s">
        <v>848</v>
      </c>
      <c r="C59" s="46" t="s">
        <v>849</v>
      </c>
      <c r="D59" s="46"/>
      <c r="E59" s="57" t="s">
        <v>850</v>
      </c>
      <c r="F59" s="62">
        <f>F60+F64+F71</f>
        <v>2.3129999999999997</v>
      </c>
      <c r="H59" s="90"/>
      <c r="I59" s="102"/>
    </row>
    <row r="60" spans="1:10" ht="20.100000000000001" customHeight="1">
      <c r="A60" s="79" t="s">
        <v>889</v>
      </c>
      <c r="B60" s="63" t="s">
        <v>890</v>
      </c>
      <c r="C60" s="57" t="s">
        <v>853</v>
      </c>
      <c r="D60" s="46"/>
      <c r="E60" s="57" t="s">
        <v>854</v>
      </c>
      <c r="F60" s="47">
        <f>F61</f>
        <v>0.91499999999999992</v>
      </c>
      <c r="G60" s="77" t="s">
        <v>855</v>
      </c>
    </row>
    <row r="61" spans="1:10" ht="20.100000000000001" customHeight="1">
      <c r="A61" s="79"/>
      <c r="B61" s="59" t="s">
        <v>856</v>
      </c>
      <c r="C61" s="57" t="s">
        <v>857</v>
      </c>
      <c r="D61" s="46"/>
      <c r="E61" s="57" t="s">
        <v>858</v>
      </c>
      <c r="F61" s="47">
        <f>F62*F63</f>
        <v>0.91499999999999992</v>
      </c>
      <c r="G61" s="77" t="s">
        <v>859</v>
      </c>
    </row>
    <row r="62" spans="1:10" ht="20.100000000000001" customHeight="1">
      <c r="A62" s="79"/>
      <c r="B62" s="59" t="s">
        <v>860</v>
      </c>
      <c r="C62" s="57" t="s">
        <v>861</v>
      </c>
      <c r="D62" s="46"/>
      <c r="E62" s="46" t="s">
        <v>862</v>
      </c>
      <c r="F62" s="89">
        <v>0.3</v>
      </c>
      <c r="G62" s="77" t="s">
        <v>891</v>
      </c>
    </row>
    <row r="63" spans="1:10" ht="20.100000000000001" customHeight="1">
      <c r="A63" s="79"/>
      <c r="B63" s="100" t="s">
        <v>864</v>
      </c>
      <c r="C63" s="57" t="s">
        <v>865</v>
      </c>
      <c r="D63" s="46"/>
      <c r="E63" s="46" t="s">
        <v>866</v>
      </c>
      <c r="F63" s="89">
        <v>3.05</v>
      </c>
      <c r="G63" s="77" t="s">
        <v>867</v>
      </c>
    </row>
    <row r="64" spans="1:10" ht="20.100000000000001" customHeight="1">
      <c r="A64" s="79" t="s">
        <v>892</v>
      </c>
      <c r="B64" s="63" t="s">
        <v>869</v>
      </c>
      <c r="C64" s="57" t="s">
        <v>870</v>
      </c>
      <c r="D64" s="46"/>
      <c r="E64" s="57" t="s">
        <v>893</v>
      </c>
      <c r="F64" s="47">
        <f>F65</f>
        <v>1.0979999999999999</v>
      </c>
      <c r="G64" s="77" t="s">
        <v>855</v>
      </c>
    </row>
    <row r="65" spans="1:10" ht="20.100000000000001" customHeight="1">
      <c r="A65" s="79"/>
      <c r="B65" s="59" t="s">
        <v>856</v>
      </c>
      <c r="C65" s="57" t="s">
        <v>871</v>
      </c>
      <c r="D65" s="46"/>
      <c r="E65" s="57" t="s">
        <v>858</v>
      </c>
      <c r="F65" s="47">
        <f>F66*F70</f>
        <v>1.0979999999999999</v>
      </c>
      <c r="G65" s="77" t="s">
        <v>859</v>
      </c>
    </row>
    <row r="66" spans="1:10" ht="20.100000000000001" customHeight="1">
      <c r="A66" s="79"/>
      <c r="B66" s="59" t="s">
        <v>894</v>
      </c>
      <c r="C66" s="57" t="s">
        <v>861</v>
      </c>
      <c r="D66" s="46"/>
      <c r="E66" s="46" t="s">
        <v>895</v>
      </c>
      <c r="F66" s="47">
        <f>F67*F68*F69</f>
        <v>0.36</v>
      </c>
      <c r="G66" s="77" t="s">
        <v>859</v>
      </c>
    </row>
    <row r="67" spans="1:10" ht="20.100000000000001" customHeight="1">
      <c r="A67" s="79"/>
      <c r="B67" s="59" t="s">
        <v>896</v>
      </c>
      <c r="C67" s="57" t="s">
        <v>897</v>
      </c>
      <c r="D67" s="46"/>
      <c r="E67" s="46" t="s">
        <v>898</v>
      </c>
      <c r="F67" s="89">
        <v>1</v>
      </c>
      <c r="G67" s="77" t="s">
        <v>855</v>
      </c>
    </row>
    <row r="68" spans="1:10" ht="20.100000000000001" customHeight="1">
      <c r="A68" s="79"/>
      <c r="B68" s="59" t="s">
        <v>899</v>
      </c>
      <c r="C68" s="57" t="s">
        <v>900</v>
      </c>
      <c r="D68" s="46"/>
      <c r="E68" s="46" t="s">
        <v>761</v>
      </c>
      <c r="F68" s="89">
        <v>1.2</v>
      </c>
      <c r="G68" s="77" t="s">
        <v>855</v>
      </c>
    </row>
    <row r="69" spans="1:10" ht="39.950000000000003" customHeight="1">
      <c r="A69" s="79"/>
      <c r="B69" s="100" t="s">
        <v>901</v>
      </c>
      <c r="C69" s="57" t="s">
        <v>902</v>
      </c>
      <c r="D69" s="46"/>
      <c r="E69" s="46" t="s">
        <v>903</v>
      </c>
      <c r="F69" s="89">
        <v>0.3</v>
      </c>
      <c r="G69" s="77" t="s">
        <v>867</v>
      </c>
    </row>
    <row r="70" spans="1:10" ht="20.100000000000001" customHeight="1">
      <c r="A70" s="79"/>
      <c r="B70" s="100" t="s">
        <v>864</v>
      </c>
      <c r="C70" s="57" t="s">
        <v>865</v>
      </c>
      <c r="D70" s="46"/>
      <c r="E70" s="46" t="s">
        <v>866</v>
      </c>
      <c r="F70" s="89">
        <v>3.05</v>
      </c>
      <c r="G70" s="77" t="s">
        <v>867</v>
      </c>
    </row>
    <row r="71" spans="1:10" ht="20.100000000000001" customHeight="1">
      <c r="A71" s="79" t="s">
        <v>904</v>
      </c>
      <c r="B71" s="63" t="s">
        <v>905</v>
      </c>
      <c r="C71" s="57" t="s">
        <v>874</v>
      </c>
      <c r="D71" s="46"/>
      <c r="E71" s="46"/>
      <c r="F71" s="89">
        <v>0.3</v>
      </c>
      <c r="G71" s="77" t="s">
        <v>906</v>
      </c>
    </row>
    <row r="72" spans="1:10" ht="20.100000000000001" customHeight="1">
      <c r="A72" s="103">
        <v>2.2999999999999998</v>
      </c>
      <c r="B72" s="104" t="s">
        <v>762</v>
      </c>
      <c r="C72" s="105" t="s">
        <v>907</v>
      </c>
      <c r="D72" s="105"/>
      <c r="E72" s="105" t="s">
        <v>908</v>
      </c>
      <c r="F72" s="106">
        <f>F58+F54</f>
        <v>276.27852805420349</v>
      </c>
      <c r="H72" s="91"/>
    </row>
    <row r="73" spans="1:10" s="65" customFormat="1" ht="20.100000000000001" customHeight="1">
      <c r="A73" s="101">
        <v>3</v>
      </c>
      <c r="B73" s="66" t="s">
        <v>763</v>
      </c>
      <c r="C73" s="57"/>
      <c r="D73" s="57"/>
      <c r="E73" s="57"/>
      <c r="F73" s="107" t="s">
        <v>909</v>
      </c>
      <c r="G73" s="77"/>
      <c r="H73" s="77"/>
    </row>
    <row r="74" spans="1:10" ht="20.100000000000001" customHeight="1">
      <c r="A74" s="79"/>
      <c r="B74" s="45" t="s">
        <v>879</v>
      </c>
      <c r="C74" s="53" t="s">
        <v>910</v>
      </c>
      <c r="D74" s="53" t="s">
        <v>781</v>
      </c>
      <c r="E74" s="46" t="s">
        <v>782</v>
      </c>
      <c r="F74" s="47">
        <f>'[12]04-烟风量'!F122</f>
        <v>130.01517450682854</v>
      </c>
    </row>
    <row r="75" spans="1:10" ht="20.100000000000001" customHeight="1">
      <c r="A75" s="79"/>
      <c r="B75" s="45" t="s">
        <v>764</v>
      </c>
      <c r="C75" s="46" t="s">
        <v>911</v>
      </c>
      <c r="D75" s="53" t="s">
        <v>785</v>
      </c>
      <c r="E75" s="46" t="s">
        <v>782</v>
      </c>
      <c r="F75" s="47">
        <f>'[12]04-烟风量'!F128</f>
        <v>171673.609861131</v>
      </c>
    </row>
    <row r="76" spans="1:10" ht="20.100000000000001" customHeight="1">
      <c r="A76" s="79"/>
      <c r="B76" s="61" t="s">
        <v>786</v>
      </c>
      <c r="C76" s="53" t="s">
        <v>912</v>
      </c>
      <c r="D76" s="53" t="s">
        <v>788</v>
      </c>
      <c r="E76" s="53" t="s">
        <v>782</v>
      </c>
      <c r="F76" s="62">
        <f>'[12]04-烟风量'!F130</f>
        <v>0.86034326373731695</v>
      </c>
      <c r="I76" s="97"/>
    </row>
    <row r="77" spans="1:10" ht="20.100000000000001" customHeight="1">
      <c r="A77" s="79"/>
      <c r="B77" s="61" t="s">
        <v>789</v>
      </c>
      <c r="C77" s="53" t="s">
        <v>790</v>
      </c>
      <c r="D77" s="53" t="s">
        <v>774</v>
      </c>
      <c r="E77" s="53" t="s">
        <v>791</v>
      </c>
      <c r="F77" s="89">
        <v>13</v>
      </c>
      <c r="I77" s="97"/>
    </row>
    <row r="78" spans="1:10" ht="20.100000000000001" customHeight="1">
      <c r="A78" s="79"/>
      <c r="B78" s="61" t="s">
        <v>792</v>
      </c>
      <c r="C78" s="53" t="s">
        <v>793</v>
      </c>
      <c r="D78" s="53" t="s">
        <v>794</v>
      </c>
      <c r="E78" s="53" t="s">
        <v>795</v>
      </c>
      <c r="F78" s="62">
        <f>F76*F77^2/2</f>
        <v>72.69900578580328</v>
      </c>
      <c r="G78" s="77" t="s">
        <v>796</v>
      </c>
    </row>
    <row r="79" spans="1:10" ht="20.100000000000001" customHeight="1">
      <c r="A79" s="79"/>
      <c r="B79" s="45" t="s">
        <v>797</v>
      </c>
      <c r="C79" s="46" t="s">
        <v>798</v>
      </c>
      <c r="D79" s="46" t="s">
        <v>884</v>
      </c>
      <c r="E79" s="46" t="s">
        <v>800</v>
      </c>
      <c r="F79" s="47">
        <f>F75/F77/3600</f>
        <v>3.6682395269472434</v>
      </c>
      <c r="J79" s="93"/>
    </row>
    <row r="80" spans="1:10" ht="20.100000000000001" customHeight="1">
      <c r="A80" s="79"/>
      <c r="B80" s="45" t="s">
        <v>804</v>
      </c>
      <c r="C80" s="46" t="s">
        <v>802</v>
      </c>
      <c r="D80" s="46" t="s">
        <v>803</v>
      </c>
      <c r="E80" s="46"/>
      <c r="F80" s="47">
        <v>2</v>
      </c>
    </row>
    <row r="81" spans="1:10" ht="20.100000000000001" customHeight="1">
      <c r="A81" s="79"/>
      <c r="B81" s="45" t="s">
        <v>913</v>
      </c>
      <c r="C81" s="46" t="s">
        <v>805</v>
      </c>
      <c r="D81" s="46" t="s">
        <v>803</v>
      </c>
      <c r="E81" s="46" t="s">
        <v>806</v>
      </c>
      <c r="F81" s="47">
        <f>F79/F80</f>
        <v>1.8341197634736217</v>
      </c>
    </row>
    <row r="82" spans="1:10" ht="20.100000000000001" customHeight="1">
      <c r="A82" s="79"/>
      <c r="B82" s="45" t="s">
        <v>807</v>
      </c>
      <c r="C82" s="46" t="s">
        <v>808</v>
      </c>
      <c r="D82" s="46" t="s">
        <v>803</v>
      </c>
      <c r="E82" s="46" t="s">
        <v>809</v>
      </c>
      <c r="F82" s="47">
        <f>2*(F80+F81)</f>
        <v>7.668239526947243</v>
      </c>
      <c r="J82" s="93"/>
    </row>
    <row r="83" spans="1:10" ht="20.100000000000001" customHeight="1">
      <c r="A83" s="79"/>
      <c r="B83" s="45" t="s">
        <v>810</v>
      </c>
      <c r="C83" s="46" t="s">
        <v>811</v>
      </c>
      <c r="D83" s="46" t="s">
        <v>803</v>
      </c>
      <c r="E83" s="46" t="s">
        <v>812</v>
      </c>
      <c r="F83" s="47">
        <f>4*F79/F82</f>
        <v>1.9134715414439247</v>
      </c>
      <c r="G83" s="77" t="s">
        <v>796</v>
      </c>
      <c r="J83" s="93"/>
    </row>
    <row r="84" spans="1:10" ht="20.100000000000001" customHeight="1">
      <c r="A84" s="79"/>
      <c r="B84" s="45" t="s">
        <v>813</v>
      </c>
      <c r="C84" s="57" t="s">
        <v>814</v>
      </c>
      <c r="D84" s="46" t="s">
        <v>914</v>
      </c>
      <c r="E84" s="46"/>
      <c r="F84" s="58">
        <f>((34.94-23.08)*(F74-100)/100+23.08)/1000000</f>
        <v>2.6639799696509862E-5</v>
      </c>
      <c r="G84" s="77" t="s">
        <v>816</v>
      </c>
    </row>
    <row r="85" spans="1:10" ht="20.100000000000001" customHeight="1">
      <c r="A85" s="79"/>
      <c r="B85" s="45" t="s">
        <v>817</v>
      </c>
      <c r="C85" s="46" t="s">
        <v>818</v>
      </c>
      <c r="D85" s="46"/>
      <c r="E85" s="46" t="s">
        <v>819</v>
      </c>
      <c r="F85" s="47">
        <f>F77*F83/F84</f>
        <v>933758.1484154315</v>
      </c>
      <c r="G85" s="77" t="s">
        <v>796</v>
      </c>
      <c r="J85" s="94"/>
    </row>
    <row r="86" spans="1:10" ht="20.100000000000001" customHeight="1">
      <c r="A86" s="79"/>
      <c r="B86" s="59" t="s">
        <v>820</v>
      </c>
      <c r="C86" s="57" t="s">
        <v>821</v>
      </c>
      <c r="D86" s="46" t="s">
        <v>803</v>
      </c>
      <c r="E86" s="46"/>
      <c r="F86" s="58">
        <v>3.3E-4</v>
      </c>
      <c r="G86" s="77" t="s">
        <v>822</v>
      </c>
    </row>
    <row r="87" spans="1:10" ht="20.100000000000001" customHeight="1">
      <c r="A87" s="79"/>
      <c r="B87" s="59" t="s">
        <v>823</v>
      </c>
      <c r="C87" s="57" t="s">
        <v>824</v>
      </c>
      <c r="D87" s="46" t="s">
        <v>803</v>
      </c>
      <c r="E87" s="57" t="s">
        <v>825</v>
      </c>
      <c r="F87" s="58">
        <f>F86/F83</f>
        <v>1.7246140998312351E-4</v>
      </c>
      <c r="G87" s="77" t="s">
        <v>826</v>
      </c>
    </row>
    <row r="88" spans="1:10" ht="20.100000000000001" customHeight="1">
      <c r="A88" s="79"/>
      <c r="B88" s="45" t="s">
        <v>827</v>
      </c>
      <c r="C88" s="46"/>
      <c r="D88" s="46"/>
      <c r="E88" s="46"/>
      <c r="F88" s="47">
        <f>560/F87</f>
        <v>3247103.2218442359</v>
      </c>
    </row>
    <row r="89" spans="1:10" ht="20.100000000000001" customHeight="1">
      <c r="A89" s="79"/>
      <c r="B89" s="45" t="s">
        <v>828</v>
      </c>
      <c r="C89" s="46"/>
      <c r="D89" s="46"/>
      <c r="E89" s="46" t="s">
        <v>829</v>
      </c>
      <c r="F89" s="47" t="s">
        <v>830</v>
      </c>
      <c r="G89" s="77" t="s">
        <v>796</v>
      </c>
    </row>
    <row r="90" spans="1:10" ht="20.100000000000001" customHeight="1">
      <c r="A90" s="79">
        <v>3.1</v>
      </c>
      <c r="B90" s="61" t="s">
        <v>831</v>
      </c>
      <c r="C90" s="57" t="s">
        <v>733</v>
      </c>
      <c r="D90" s="53" t="s">
        <v>794</v>
      </c>
      <c r="E90" s="57" t="s">
        <v>886</v>
      </c>
      <c r="F90" s="62">
        <f>F93*F92</f>
        <v>18.236760788641291</v>
      </c>
      <c r="G90" s="77" t="s">
        <v>796</v>
      </c>
    </row>
    <row r="91" spans="1:10" ht="20.100000000000001" customHeight="1">
      <c r="A91" s="79"/>
      <c r="B91" s="61" t="s">
        <v>834</v>
      </c>
      <c r="C91" s="57" t="s">
        <v>835</v>
      </c>
      <c r="D91" s="53"/>
      <c r="E91" s="53" t="s">
        <v>836</v>
      </c>
      <c r="F91" s="89">
        <v>1.6E-2</v>
      </c>
      <c r="G91" s="77" t="s">
        <v>837</v>
      </c>
    </row>
    <row r="92" spans="1:10" ht="20.100000000000001" customHeight="1">
      <c r="A92" s="79"/>
      <c r="B92" s="61" t="s">
        <v>838</v>
      </c>
      <c r="C92" s="57" t="s">
        <v>839</v>
      </c>
      <c r="D92" s="53" t="s">
        <v>840</v>
      </c>
      <c r="E92" s="57" t="s">
        <v>841</v>
      </c>
      <c r="F92" s="62">
        <f>F91*F78/F83</f>
        <v>0.60789202628804306</v>
      </c>
      <c r="G92" s="77" t="s">
        <v>796</v>
      </c>
    </row>
    <row r="93" spans="1:10" ht="20.100000000000001" customHeight="1">
      <c r="A93" s="79"/>
      <c r="B93" s="61" t="s">
        <v>842</v>
      </c>
      <c r="C93" s="53" t="s">
        <v>915</v>
      </c>
      <c r="D93" s="53" t="s">
        <v>803</v>
      </c>
      <c r="E93" s="53" t="s">
        <v>844</v>
      </c>
      <c r="F93" s="89">
        <v>30</v>
      </c>
    </row>
    <row r="94" spans="1:10" ht="20.100000000000001" customHeight="1">
      <c r="A94" s="79">
        <v>3.2</v>
      </c>
      <c r="B94" s="59" t="s">
        <v>845</v>
      </c>
      <c r="C94" s="57" t="s">
        <v>916</v>
      </c>
      <c r="D94" s="53" t="s">
        <v>794</v>
      </c>
      <c r="E94" s="53" t="s">
        <v>847</v>
      </c>
      <c r="F94" s="62">
        <f>F95*$F$9</f>
        <v>316.37594300000006</v>
      </c>
    </row>
    <row r="95" spans="1:10" ht="20.100000000000001" customHeight="1">
      <c r="A95" s="79"/>
      <c r="B95" s="61" t="s">
        <v>848</v>
      </c>
      <c r="C95" s="46" t="s">
        <v>849</v>
      </c>
      <c r="D95" s="46"/>
      <c r="E95" s="57" t="s">
        <v>917</v>
      </c>
      <c r="F95" s="62">
        <f>F96+F97+F98+F105</f>
        <v>2.7941000000000003</v>
      </c>
    </row>
    <row r="96" spans="1:10" ht="20.100000000000001" customHeight="1">
      <c r="A96" s="79" t="s">
        <v>918</v>
      </c>
      <c r="B96" s="61" t="s">
        <v>919</v>
      </c>
      <c r="C96" s="57" t="s">
        <v>853</v>
      </c>
      <c r="D96" s="46"/>
      <c r="E96" s="46" t="s">
        <v>920</v>
      </c>
      <c r="F96" s="89">
        <v>0.1</v>
      </c>
      <c r="G96" s="77" t="s">
        <v>921</v>
      </c>
    </row>
    <row r="97" spans="1:7" ht="20.100000000000001" customHeight="1">
      <c r="A97" s="79" t="s">
        <v>922</v>
      </c>
      <c r="B97" s="61" t="s">
        <v>923</v>
      </c>
      <c r="C97" s="57" t="s">
        <v>870</v>
      </c>
      <c r="D97" s="46"/>
      <c r="E97" s="57"/>
      <c r="F97" s="89">
        <v>0.2</v>
      </c>
      <c r="G97" s="77" t="s">
        <v>924</v>
      </c>
    </row>
    <row r="98" spans="1:7" ht="30" customHeight="1">
      <c r="A98" s="79" t="s">
        <v>925</v>
      </c>
      <c r="B98" s="108" t="s">
        <v>926</v>
      </c>
      <c r="C98" s="57" t="s">
        <v>927</v>
      </c>
      <c r="D98" s="46"/>
      <c r="E98" s="57" t="s">
        <v>928</v>
      </c>
      <c r="F98" s="47">
        <f>F99</f>
        <v>0.49409999999999998</v>
      </c>
      <c r="G98" s="77" t="s">
        <v>855</v>
      </c>
    </row>
    <row r="99" spans="1:7" ht="20.100000000000001" customHeight="1">
      <c r="A99" s="79"/>
      <c r="B99" s="59" t="s">
        <v>856</v>
      </c>
      <c r="C99" s="57" t="s">
        <v>929</v>
      </c>
      <c r="D99" s="46"/>
      <c r="E99" s="57" t="s">
        <v>858</v>
      </c>
      <c r="F99" s="47">
        <f>F100*F104</f>
        <v>0.49409999999999998</v>
      </c>
      <c r="G99" s="77" t="s">
        <v>859</v>
      </c>
    </row>
    <row r="100" spans="1:7" ht="20.100000000000001" customHeight="1">
      <c r="A100" s="79"/>
      <c r="B100" s="59" t="s">
        <v>894</v>
      </c>
      <c r="C100" s="57" t="s">
        <v>861</v>
      </c>
      <c r="D100" s="46"/>
      <c r="E100" s="46" t="s">
        <v>895</v>
      </c>
      <c r="F100" s="47">
        <f>F101*F102*F103</f>
        <v>0.16200000000000001</v>
      </c>
      <c r="G100" s="77" t="s">
        <v>859</v>
      </c>
    </row>
    <row r="101" spans="1:7" ht="20.100000000000001" customHeight="1">
      <c r="A101" s="79"/>
      <c r="B101" s="59" t="s">
        <v>896</v>
      </c>
      <c r="C101" s="57" t="s">
        <v>897</v>
      </c>
      <c r="D101" s="46"/>
      <c r="E101" s="46" t="s">
        <v>898</v>
      </c>
      <c r="F101" s="89">
        <v>0.6</v>
      </c>
      <c r="G101" s="77" t="s">
        <v>855</v>
      </c>
    </row>
    <row r="102" spans="1:7" ht="20.100000000000001" customHeight="1">
      <c r="A102" s="79"/>
      <c r="B102" s="59" t="s">
        <v>899</v>
      </c>
      <c r="C102" s="57" t="s">
        <v>900</v>
      </c>
      <c r="D102" s="46"/>
      <c r="E102" s="46" t="s">
        <v>761</v>
      </c>
      <c r="F102" s="89">
        <v>0.9</v>
      </c>
      <c r="G102" s="77" t="s">
        <v>855</v>
      </c>
    </row>
    <row r="103" spans="1:7" ht="30" customHeight="1">
      <c r="A103" s="79"/>
      <c r="B103" s="100" t="s">
        <v>901</v>
      </c>
      <c r="C103" s="57" t="s">
        <v>902</v>
      </c>
      <c r="D103" s="46"/>
      <c r="E103" s="46" t="s">
        <v>903</v>
      </c>
      <c r="F103" s="89">
        <v>0.3</v>
      </c>
      <c r="G103" s="77" t="s">
        <v>867</v>
      </c>
    </row>
    <row r="104" spans="1:7" ht="20.100000000000001" customHeight="1">
      <c r="A104" s="79"/>
      <c r="B104" s="100" t="s">
        <v>864</v>
      </c>
      <c r="C104" s="57" t="s">
        <v>865</v>
      </c>
      <c r="D104" s="46"/>
      <c r="E104" s="46" t="s">
        <v>866</v>
      </c>
      <c r="F104" s="89">
        <v>3.05</v>
      </c>
      <c r="G104" s="77" t="s">
        <v>867</v>
      </c>
    </row>
    <row r="105" spans="1:7" ht="20.100000000000001" customHeight="1">
      <c r="A105" s="79" t="s">
        <v>930</v>
      </c>
      <c r="B105" s="100" t="s">
        <v>931</v>
      </c>
      <c r="C105" s="57" t="s">
        <v>932</v>
      </c>
      <c r="D105" s="46"/>
      <c r="E105" s="46" t="s">
        <v>933</v>
      </c>
      <c r="F105" s="89">
        <v>2</v>
      </c>
      <c r="G105" s="77" t="s">
        <v>934</v>
      </c>
    </row>
    <row r="106" spans="1:7" ht="20.100000000000001" customHeight="1">
      <c r="A106" s="101">
        <v>3.3</v>
      </c>
      <c r="B106" s="59" t="s">
        <v>765</v>
      </c>
      <c r="C106" s="57" t="s">
        <v>935</v>
      </c>
      <c r="D106" s="57" t="s">
        <v>794</v>
      </c>
      <c r="E106" s="57" t="s">
        <v>936</v>
      </c>
      <c r="F106" s="67">
        <f>F94+F90</f>
        <v>334.61270378864134</v>
      </c>
    </row>
    <row r="107" spans="1:7" ht="20.100000000000001" customHeight="1">
      <c r="A107" s="101">
        <v>4</v>
      </c>
      <c r="B107" s="59" t="s">
        <v>937</v>
      </c>
      <c r="C107" s="57" t="s">
        <v>938</v>
      </c>
      <c r="D107" s="57" t="s">
        <v>794</v>
      </c>
      <c r="E107" s="57" t="s">
        <v>939</v>
      </c>
      <c r="F107" s="67">
        <f>F106+F72+F36</f>
        <v>888.93352065090744</v>
      </c>
    </row>
  </sheetData>
  <phoneticPr fontId="3" type="noConversion"/>
  <pageMargins left="0.7" right="0.7" top="0.75" bottom="0.75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>
    <tabColor theme="9" tint="-0.499984740745262"/>
  </sheetPr>
  <dimension ref="A1:H74"/>
  <sheetViews>
    <sheetView workbookViewId="0">
      <selection activeCell="L806" sqref="L806"/>
    </sheetView>
  </sheetViews>
  <sheetFormatPr defaultRowHeight="20.100000000000001" customHeight="1"/>
  <cols>
    <col min="1" max="1" width="10.625" style="77" customWidth="1"/>
    <col min="2" max="2" width="35.625" style="43" customWidth="1"/>
    <col min="3" max="4" width="10.625" style="77" customWidth="1"/>
    <col min="5" max="5" width="20.625" style="77" customWidth="1"/>
    <col min="6" max="6" width="20.625" style="78" customWidth="1"/>
    <col min="7" max="7" width="10.625" style="77" customWidth="1"/>
    <col min="8" max="8" width="20.625" style="43" customWidth="1"/>
    <col min="9" max="9" width="9.75" style="43" bestFit="1" customWidth="1"/>
    <col min="10" max="16384" width="9" style="43"/>
  </cols>
  <sheetData>
    <row r="1" spans="1:8" ht="20.100000000000001" customHeight="1">
      <c r="A1" s="38" t="s">
        <v>294</v>
      </c>
      <c r="B1" s="39" t="s">
        <v>604</v>
      </c>
      <c r="C1" s="40" t="s">
        <v>289</v>
      </c>
      <c r="D1" s="41" t="s">
        <v>288</v>
      </c>
      <c r="E1" s="40" t="s">
        <v>293</v>
      </c>
      <c r="F1" s="42" t="s">
        <v>605</v>
      </c>
      <c r="G1" s="43"/>
      <c r="H1" s="43" t="s">
        <v>606</v>
      </c>
    </row>
    <row r="2" spans="1:8" ht="20.100000000000001" customHeight="1">
      <c r="A2" s="44"/>
      <c r="B2" s="45" t="s">
        <v>607</v>
      </c>
      <c r="C2" s="46"/>
      <c r="D2" s="46" t="s">
        <v>608</v>
      </c>
      <c r="E2" s="46" t="s">
        <v>609</v>
      </c>
      <c r="F2" s="47" t="s">
        <v>610</v>
      </c>
      <c r="G2" s="43" t="s">
        <v>611</v>
      </c>
      <c r="H2" s="43" t="s">
        <v>612</v>
      </c>
    </row>
    <row r="3" spans="1:8" ht="20.100000000000001" customHeight="1">
      <c r="A3" s="44"/>
      <c r="B3" s="45"/>
      <c r="C3" s="46"/>
      <c r="D3" s="46"/>
      <c r="E3" s="46" t="s">
        <v>613</v>
      </c>
      <c r="F3" s="47" t="s">
        <v>614</v>
      </c>
      <c r="G3" s="43"/>
    </row>
    <row r="4" spans="1:8" ht="20.100000000000001" customHeight="1">
      <c r="A4" s="48"/>
      <c r="B4" s="49" t="s">
        <v>615</v>
      </c>
      <c r="C4" s="50"/>
      <c r="D4" s="50"/>
      <c r="E4" s="50"/>
      <c r="F4" s="51" t="s">
        <v>605</v>
      </c>
      <c r="G4" s="43"/>
    </row>
    <row r="5" spans="1:8" ht="20.100000000000001" customHeight="1">
      <c r="A5" s="52">
        <v>1</v>
      </c>
      <c r="B5" s="49" t="s">
        <v>616</v>
      </c>
      <c r="C5" s="50"/>
      <c r="D5" s="50"/>
      <c r="E5" s="50"/>
      <c r="F5" s="51"/>
      <c r="G5" s="43"/>
    </row>
    <row r="6" spans="1:8" ht="20.100000000000001" customHeight="1">
      <c r="A6" s="44"/>
      <c r="B6" s="45" t="s">
        <v>617</v>
      </c>
      <c r="C6" s="46" t="s">
        <v>618</v>
      </c>
      <c r="D6" s="53" t="s">
        <v>291</v>
      </c>
      <c r="E6" s="46" t="s">
        <v>949</v>
      </c>
      <c r="F6" s="47">
        <v>20</v>
      </c>
      <c r="G6" s="43"/>
    </row>
    <row r="7" spans="1:8" ht="20.100000000000001" customHeight="1">
      <c r="A7" s="44"/>
      <c r="B7" s="45" t="s">
        <v>620</v>
      </c>
      <c r="C7" s="46" t="s">
        <v>621</v>
      </c>
      <c r="D7" s="53" t="s">
        <v>622</v>
      </c>
      <c r="E7" s="46" t="s">
        <v>948</v>
      </c>
      <c r="F7" s="112">
        <f>烟风系统!F14</f>
        <v>97251.53780108779</v>
      </c>
      <c r="G7" s="43"/>
    </row>
    <row r="8" spans="1:8" ht="20.100000000000001" customHeight="1">
      <c r="A8" s="44"/>
      <c r="B8" s="45" t="s">
        <v>623</v>
      </c>
      <c r="C8" s="46" t="s">
        <v>624</v>
      </c>
      <c r="D8" s="53" t="s">
        <v>625</v>
      </c>
      <c r="E8" s="46"/>
      <c r="F8" s="47">
        <v>1.2929999999999999</v>
      </c>
      <c r="G8" s="43"/>
    </row>
    <row r="9" spans="1:8" ht="20.100000000000001" customHeight="1">
      <c r="A9" s="44"/>
      <c r="B9" s="45" t="s">
        <v>626</v>
      </c>
      <c r="C9" s="46" t="s">
        <v>627</v>
      </c>
      <c r="D9" s="53" t="s">
        <v>608</v>
      </c>
      <c r="E9" s="46" t="s">
        <v>628</v>
      </c>
      <c r="F9" s="54">
        <v>11</v>
      </c>
      <c r="G9" s="43"/>
    </row>
    <row r="10" spans="1:8" ht="20.100000000000001" customHeight="1">
      <c r="A10" s="44"/>
      <c r="B10" s="45" t="s">
        <v>629</v>
      </c>
      <c r="C10" s="46" t="s">
        <v>630</v>
      </c>
      <c r="D10" s="53" t="s">
        <v>631</v>
      </c>
      <c r="E10" s="53" t="s">
        <v>632</v>
      </c>
      <c r="F10" s="47">
        <f>F8*F9^2/2</f>
        <v>78.226500000000001</v>
      </c>
      <c r="G10" s="43" t="s">
        <v>633</v>
      </c>
    </row>
    <row r="11" spans="1:8" ht="20.100000000000001" customHeight="1">
      <c r="A11" s="55">
        <v>1.1000000000000001</v>
      </c>
      <c r="B11" s="56" t="s">
        <v>634</v>
      </c>
      <c r="C11" s="46"/>
      <c r="D11" s="46"/>
      <c r="E11" s="46"/>
      <c r="F11" s="47"/>
      <c r="G11" s="43"/>
    </row>
    <row r="12" spans="1:8" ht="20.100000000000001" customHeight="1">
      <c r="A12" s="44"/>
      <c r="B12" s="45" t="s">
        <v>635</v>
      </c>
      <c r="C12" s="46" t="s">
        <v>636</v>
      </c>
      <c r="D12" s="46" t="s">
        <v>637</v>
      </c>
      <c r="E12" s="46" t="s">
        <v>638</v>
      </c>
      <c r="F12" s="47">
        <f>F7/3600/F9</f>
        <v>2.4558469141688835</v>
      </c>
      <c r="G12" s="43"/>
    </row>
    <row r="13" spans="1:8" ht="20.100000000000001" customHeight="1">
      <c r="A13" s="44"/>
      <c r="B13" s="46" t="s">
        <v>383</v>
      </c>
      <c r="C13" s="46" t="s">
        <v>639</v>
      </c>
      <c r="D13" s="46" t="s">
        <v>327</v>
      </c>
      <c r="E13" s="46" t="s">
        <v>628</v>
      </c>
      <c r="F13" s="54">
        <v>1.5</v>
      </c>
      <c r="G13" s="43"/>
    </row>
    <row r="14" spans="1:8" ht="20.100000000000001" customHeight="1">
      <c r="A14" s="44"/>
      <c r="B14" s="46" t="s">
        <v>384</v>
      </c>
      <c r="C14" s="46" t="s">
        <v>640</v>
      </c>
      <c r="D14" s="46" t="s">
        <v>327</v>
      </c>
      <c r="E14" s="46" t="s">
        <v>641</v>
      </c>
      <c r="F14" s="47">
        <f>F12/F13</f>
        <v>1.6372312761125889</v>
      </c>
      <c r="G14" s="43"/>
    </row>
    <row r="15" spans="1:8" ht="20.100000000000001" customHeight="1">
      <c r="A15" s="44"/>
      <c r="B15" s="45" t="s">
        <v>642</v>
      </c>
      <c r="C15" s="46" t="s">
        <v>643</v>
      </c>
      <c r="D15" s="46" t="s">
        <v>327</v>
      </c>
      <c r="E15" s="46" t="s">
        <v>644</v>
      </c>
      <c r="F15" s="47">
        <f>2*(F13+F14)</f>
        <v>6.2744625522251773</v>
      </c>
      <c r="G15" s="43"/>
    </row>
    <row r="16" spans="1:8" ht="20.100000000000001" customHeight="1">
      <c r="A16" s="44"/>
      <c r="B16" s="45" t="s">
        <v>645</v>
      </c>
      <c r="C16" s="46" t="s">
        <v>646</v>
      </c>
      <c r="D16" s="46" t="s">
        <v>327</v>
      </c>
      <c r="E16" s="46" t="s">
        <v>647</v>
      </c>
      <c r="F16" s="47">
        <f>4*F12/F15</f>
        <v>1.5656141980147391</v>
      </c>
      <c r="G16" s="43" t="s">
        <v>633</v>
      </c>
    </row>
    <row r="17" spans="1:7" ht="20.100000000000001" customHeight="1">
      <c r="A17" s="44"/>
      <c r="B17" s="45" t="s">
        <v>648</v>
      </c>
      <c r="C17" s="57" t="s">
        <v>649</v>
      </c>
      <c r="D17" s="46" t="s">
        <v>650</v>
      </c>
      <c r="E17" s="46"/>
      <c r="F17" s="58">
        <v>1.501E-5</v>
      </c>
      <c r="G17" s="43" t="s">
        <v>651</v>
      </c>
    </row>
    <row r="18" spans="1:7" ht="20.100000000000001" customHeight="1">
      <c r="A18" s="44"/>
      <c r="B18" s="45" t="s">
        <v>652</v>
      </c>
      <c r="C18" s="46" t="s">
        <v>653</v>
      </c>
      <c r="D18" s="46"/>
      <c r="E18" s="46" t="s">
        <v>654</v>
      </c>
      <c r="F18" s="47">
        <f>F9*F16/F17</f>
        <v>1147352.1770927468</v>
      </c>
      <c r="G18" s="43" t="s">
        <v>633</v>
      </c>
    </row>
    <row r="19" spans="1:7" ht="20.100000000000001" customHeight="1">
      <c r="A19" s="44"/>
      <c r="B19" s="59" t="s">
        <v>655</v>
      </c>
      <c r="C19" s="57" t="s">
        <v>656</v>
      </c>
      <c r="D19" s="46" t="s">
        <v>327</v>
      </c>
      <c r="E19" s="46"/>
      <c r="F19" s="58">
        <v>3.3E-4</v>
      </c>
      <c r="G19" s="43" t="s">
        <v>657</v>
      </c>
    </row>
    <row r="20" spans="1:7" ht="20.100000000000001" customHeight="1">
      <c r="A20" s="44"/>
      <c r="B20" s="59" t="s">
        <v>658</v>
      </c>
      <c r="C20" s="57" t="s">
        <v>659</v>
      </c>
      <c r="D20" s="46" t="s">
        <v>327</v>
      </c>
      <c r="E20" s="57" t="s">
        <v>660</v>
      </c>
      <c r="F20" s="58">
        <f>F19/F16</f>
        <v>2.1077989738369331E-4</v>
      </c>
      <c r="G20" s="43" t="s">
        <v>661</v>
      </c>
    </row>
    <row r="21" spans="1:7" ht="20.100000000000001" customHeight="1">
      <c r="A21" s="44"/>
      <c r="B21" s="60" t="s">
        <v>662</v>
      </c>
      <c r="C21" s="46"/>
      <c r="D21" s="46"/>
      <c r="E21" s="46"/>
      <c r="F21" s="47">
        <f>560/F20</f>
        <v>2656799.8511765269</v>
      </c>
      <c r="G21" s="43"/>
    </row>
    <row r="22" spans="1:7" ht="20.100000000000001" customHeight="1">
      <c r="A22" s="44"/>
      <c r="B22" s="45" t="s">
        <v>663</v>
      </c>
      <c r="C22" s="46"/>
      <c r="D22" s="46"/>
      <c r="E22" s="46" t="s">
        <v>664</v>
      </c>
      <c r="F22" s="47" t="s">
        <v>665</v>
      </c>
      <c r="G22" s="43" t="s">
        <v>633</v>
      </c>
    </row>
    <row r="23" spans="1:7" ht="20.100000000000001" customHeight="1">
      <c r="A23" s="55" t="s">
        <v>666</v>
      </c>
      <c r="B23" s="45" t="s">
        <v>667</v>
      </c>
      <c r="C23" s="57" t="s">
        <v>668</v>
      </c>
      <c r="D23" s="46" t="s">
        <v>631</v>
      </c>
      <c r="E23" s="57" t="s">
        <v>669</v>
      </c>
      <c r="F23" s="47">
        <f>F26*F25</f>
        <v>11.99168992195308</v>
      </c>
      <c r="G23" s="43" t="s">
        <v>633</v>
      </c>
    </row>
    <row r="24" spans="1:7" ht="20.100000000000001" customHeight="1">
      <c r="A24" s="44"/>
      <c r="B24" s="61" t="s">
        <v>670</v>
      </c>
      <c r="C24" s="57" t="s">
        <v>671</v>
      </c>
      <c r="D24" s="53"/>
      <c r="E24" s="53" t="s">
        <v>672</v>
      </c>
      <c r="F24" s="62">
        <v>1.6E-2</v>
      </c>
      <c r="G24" s="43" t="s">
        <v>673</v>
      </c>
    </row>
    <row r="25" spans="1:7" ht="20.100000000000001" customHeight="1">
      <c r="A25" s="44"/>
      <c r="B25" s="45" t="s">
        <v>674</v>
      </c>
      <c r="C25" s="57" t="s">
        <v>675</v>
      </c>
      <c r="D25" s="46" t="s">
        <v>676</v>
      </c>
      <c r="E25" s="57" t="s">
        <v>677</v>
      </c>
      <c r="F25" s="47">
        <f>F24*F10/F16</f>
        <v>0.79944599479687206</v>
      </c>
      <c r="G25" s="43" t="s">
        <v>633</v>
      </c>
    </row>
    <row r="26" spans="1:7" ht="20.100000000000001" customHeight="1">
      <c r="A26" s="44"/>
      <c r="B26" s="45" t="s">
        <v>678</v>
      </c>
      <c r="C26" s="46" t="s">
        <v>679</v>
      </c>
      <c r="D26" s="46" t="s">
        <v>327</v>
      </c>
      <c r="E26" s="46" t="s">
        <v>680</v>
      </c>
      <c r="F26" s="54">
        <v>15</v>
      </c>
      <c r="G26" s="43"/>
    </row>
    <row r="27" spans="1:7" ht="20.100000000000001" customHeight="1">
      <c r="A27" s="55" t="s">
        <v>681</v>
      </c>
      <c r="B27" s="45" t="s">
        <v>682</v>
      </c>
      <c r="C27" s="57" t="s">
        <v>683</v>
      </c>
      <c r="D27" s="46"/>
      <c r="E27" s="46" t="s">
        <v>684</v>
      </c>
      <c r="F27" s="47">
        <f>F28*F10</f>
        <v>54.75855</v>
      </c>
      <c r="G27" s="43" t="s">
        <v>657</v>
      </c>
    </row>
    <row r="28" spans="1:7" ht="20.100000000000001" customHeight="1">
      <c r="A28" s="44"/>
      <c r="B28" s="61" t="s">
        <v>685</v>
      </c>
      <c r="C28" s="46" t="s">
        <v>686</v>
      </c>
      <c r="D28" s="46"/>
      <c r="E28" s="57" t="s">
        <v>687</v>
      </c>
      <c r="F28" s="62">
        <f>F29+F30+F31</f>
        <v>0.7</v>
      </c>
      <c r="G28" s="43"/>
    </row>
    <row r="29" spans="1:7" ht="20.100000000000001" customHeight="1">
      <c r="A29" s="44"/>
      <c r="B29" s="63" t="s">
        <v>688</v>
      </c>
      <c r="C29" s="57" t="s">
        <v>689</v>
      </c>
      <c r="D29" s="46"/>
      <c r="E29" s="46" t="s">
        <v>690</v>
      </c>
      <c r="F29" s="54">
        <v>0.3</v>
      </c>
      <c r="G29" s="43" t="s">
        <v>691</v>
      </c>
    </row>
    <row r="30" spans="1:7" ht="20.100000000000001" customHeight="1">
      <c r="A30" s="44"/>
      <c r="B30" s="63" t="s">
        <v>692</v>
      </c>
      <c r="C30" s="57" t="s">
        <v>693</v>
      </c>
      <c r="D30" s="46"/>
      <c r="E30" s="57" t="s">
        <v>694</v>
      </c>
      <c r="F30" s="54">
        <v>0.3</v>
      </c>
      <c r="G30" s="43" t="s">
        <v>695</v>
      </c>
    </row>
    <row r="31" spans="1:7" ht="20.100000000000001" customHeight="1">
      <c r="A31" s="44"/>
      <c r="B31" s="63" t="s">
        <v>696</v>
      </c>
      <c r="C31" s="57" t="s">
        <v>697</v>
      </c>
      <c r="D31" s="46"/>
      <c r="E31" s="57" t="s">
        <v>698</v>
      </c>
      <c r="F31" s="54">
        <v>0.1</v>
      </c>
      <c r="G31" s="43" t="s">
        <v>699</v>
      </c>
    </row>
    <row r="32" spans="1:7" s="65" customFormat="1" ht="20.100000000000001" customHeight="1">
      <c r="A32" s="55" t="s">
        <v>700</v>
      </c>
      <c r="B32" s="59" t="s">
        <v>701</v>
      </c>
      <c r="C32" s="57" t="s">
        <v>702</v>
      </c>
      <c r="D32" s="57"/>
      <c r="E32" s="57" t="s">
        <v>703</v>
      </c>
      <c r="F32" s="64">
        <f>F27+F23</f>
        <v>66.750239921953082</v>
      </c>
    </row>
    <row r="33" spans="1:8" s="65" customFormat="1" ht="20.100000000000001" customHeight="1">
      <c r="A33" s="55">
        <v>1.2</v>
      </c>
      <c r="B33" s="66" t="s">
        <v>704</v>
      </c>
      <c r="C33" s="57"/>
      <c r="D33" s="57"/>
      <c r="E33" s="57"/>
      <c r="F33" s="67"/>
    </row>
    <row r="34" spans="1:8" ht="20.100000000000001" customHeight="1">
      <c r="A34" s="55" t="s">
        <v>705</v>
      </c>
      <c r="B34" s="59" t="s">
        <v>667</v>
      </c>
      <c r="C34" s="57" t="s">
        <v>706</v>
      </c>
      <c r="D34" s="46" t="s">
        <v>631</v>
      </c>
      <c r="E34" s="57" t="s">
        <v>707</v>
      </c>
      <c r="F34" s="62">
        <f>F36*F35</f>
        <v>11.99168992195308</v>
      </c>
      <c r="G34" s="43"/>
    </row>
    <row r="35" spans="1:8" ht="20.100000000000001" customHeight="1">
      <c r="A35" s="44"/>
      <c r="B35" s="45" t="s">
        <v>674</v>
      </c>
      <c r="C35" s="57" t="s">
        <v>675</v>
      </c>
      <c r="D35" s="46" t="s">
        <v>676</v>
      </c>
      <c r="E35" s="46" t="s">
        <v>708</v>
      </c>
      <c r="F35" s="47">
        <f>F25</f>
        <v>0.79944599479687206</v>
      </c>
      <c r="G35" s="43"/>
    </row>
    <row r="36" spans="1:8" ht="20.100000000000001" customHeight="1">
      <c r="A36" s="44"/>
      <c r="B36" s="45" t="s">
        <v>678</v>
      </c>
      <c r="C36" s="46" t="s">
        <v>709</v>
      </c>
      <c r="D36" s="46" t="s">
        <v>327</v>
      </c>
      <c r="E36" s="46" t="s">
        <v>710</v>
      </c>
      <c r="F36" s="54">
        <v>15</v>
      </c>
      <c r="G36" s="43"/>
    </row>
    <row r="37" spans="1:8" ht="20.100000000000001" customHeight="1">
      <c r="A37" s="55" t="s">
        <v>711</v>
      </c>
      <c r="B37" s="59" t="s">
        <v>682</v>
      </c>
      <c r="C37" s="57" t="s">
        <v>712</v>
      </c>
      <c r="D37" s="46"/>
      <c r="E37" s="46" t="s">
        <v>684</v>
      </c>
      <c r="F37" s="47">
        <f>F38*F10</f>
        <v>101.69445</v>
      </c>
      <c r="G37" s="43" t="s">
        <v>657</v>
      </c>
    </row>
    <row r="38" spans="1:8" ht="20.100000000000001" customHeight="1">
      <c r="A38" s="44"/>
      <c r="B38" s="61" t="s">
        <v>685</v>
      </c>
      <c r="C38" s="46" t="s">
        <v>686</v>
      </c>
      <c r="D38" s="46"/>
      <c r="E38" s="57" t="s">
        <v>687</v>
      </c>
      <c r="F38" s="62">
        <f>F39+F40+F41</f>
        <v>1.3</v>
      </c>
      <c r="G38" s="43"/>
    </row>
    <row r="39" spans="1:8" ht="20.100000000000001" customHeight="1">
      <c r="A39" s="44"/>
      <c r="B39" s="63" t="s">
        <v>713</v>
      </c>
      <c r="C39" s="57" t="s">
        <v>689</v>
      </c>
      <c r="D39" s="46"/>
      <c r="E39" s="46" t="s">
        <v>714</v>
      </c>
      <c r="F39" s="47">
        <v>0.5</v>
      </c>
      <c r="G39" s="43" t="s">
        <v>715</v>
      </c>
    </row>
    <row r="40" spans="1:8" ht="20.100000000000001" customHeight="1">
      <c r="A40" s="44"/>
      <c r="B40" s="63" t="s">
        <v>716</v>
      </c>
      <c r="C40" s="57" t="s">
        <v>693</v>
      </c>
      <c r="D40" s="46"/>
      <c r="E40" s="46" t="s">
        <v>693</v>
      </c>
      <c r="F40" s="47">
        <v>0.3</v>
      </c>
      <c r="G40" s="43" t="s">
        <v>717</v>
      </c>
    </row>
    <row r="41" spans="1:8" ht="20.100000000000001" customHeight="1">
      <c r="A41" s="44"/>
      <c r="B41" s="45" t="s">
        <v>718</v>
      </c>
      <c r="C41" s="57" t="s">
        <v>697</v>
      </c>
      <c r="D41" s="46"/>
      <c r="E41" s="46" t="s">
        <v>714</v>
      </c>
      <c r="F41" s="47">
        <v>0.5</v>
      </c>
      <c r="G41" s="43"/>
    </row>
    <row r="42" spans="1:8" ht="20.100000000000001" customHeight="1" thickBot="1">
      <c r="A42" s="55" t="s">
        <v>719</v>
      </c>
      <c r="B42" s="59" t="s">
        <v>720</v>
      </c>
      <c r="C42" s="57" t="s">
        <v>721</v>
      </c>
      <c r="D42" s="46"/>
      <c r="E42" s="46" t="s">
        <v>722</v>
      </c>
      <c r="F42" s="68">
        <f>F34+F37</f>
        <v>113.68613992195309</v>
      </c>
      <c r="G42" s="43"/>
    </row>
    <row r="43" spans="1:8" ht="20.100000000000001" customHeight="1">
      <c r="A43" s="55">
        <v>2</v>
      </c>
      <c r="B43" s="66" t="s">
        <v>723</v>
      </c>
      <c r="C43" s="50"/>
      <c r="D43" s="50"/>
      <c r="E43" s="50"/>
      <c r="F43" s="51"/>
      <c r="G43" s="43"/>
      <c r="H43" s="69" t="s">
        <v>724</v>
      </c>
    </row>
    <row r="44" spans="1:8" ht="20.100000000000001" customHeight="1">
      <c r="A44" s="44"/>
      <c r="B44" s="45" t="s">
        <v>617</v>
      </c>
      <c r="C44" s="46" t="s">
        <v>618</v>
      </c>
      <c r="D44" s="53" t="s">
        <v>291</v>
      </c>
      <c r="E44" s="46" t="s">
        <v>619</v>
      </c>
      <c r="F44" s="47">
        <v>200</v>
      </c>
      <c r="G44" s="43"/>
      <c r="H44" s="70" t="s">
        <v>725</v>
      </c>
    </row>
    <row r="45" spans="1:8" ht="20.100000000000001" customHeight="1">
      <c r="A45" s="44"/>
      <c r="B45" s="45" t="s">
        <v>620</v>
      </c>
      <c r="C45" s="46" t="s">
        <v>621</v>
      </c>
      <c r="D45" s="53" t="s">
        <v>622</v>
      </c>
      <c r="E45" s="46" t="s">
        <v>619</v>
      </c>
      <c r="F45" s="47">
        <f>F7</f>
        <v>97251.53780108779</v>
      </c>
      <c r="G45" s="43"/>
      <c r="H45" s="70">
        <f>F45*0.02</f>
        <v>1945.0307560217559</v>
      </c>
    </row>
    <row r="46" spans="1:8" ht="20.100000000000001" customHeight="1">
      <c r="A46" s="44"/>
      <c r="B46" s="61" t="s">
        <v>623</v>
      </c>
      <c r="C46" s="53" t="s">
        <v>624</v>
      </c>
      <c r="D46" s="53" t="s">
        <v>625</v>
      </c>
      <c r="E46" s="53" t="s">
        <v>619</v>
      </c>
      <c r="F46" s="62">
        <f>'[12]04-烟风量'!F75</f>
        <v>0.79243629305842134</v>
      </c>
      <c r="G46" s="43"/>
      <c r="H46" s="70">
        <f>F46</f>
        <v>0.79243629305842134</v>
      </c>
    </row>
    <row r="47" spans="1:8" ht="20.100000000000001" customHeight="1">
      <c r="A47" s="44"/>
      <c r="B47" s="61" t="s">
        <v>626</v>
      </c>
      <c r="C47" s="53" t="s">
        <v>627</v>
      </c>
      <c r="D47" s="53" t="s">
        <v>608</v>
      </c>
      <c r="E47" s="53" t="s">
        <v>628</v>
      </c>
      <c r="F47" s="54">
        <v>21</v>
      </c>
      <c r="G47" s="43"/>
      <c r="H47" s="70">
        <v>20</v>
      </c>
    </row>
    <row r="48" spans="1:8" ht="20.100000000000001" customHeight="1">
      <c r="A48" s="44"/>
      <c r="B48" s="61" t="s">
        <v>629</v>
      </c>
      <c r="C48" s="53" t="s">
        <v>630</v>
      </c>
      <c r="D48" s="53" t="s">
        <v>631</v>
      </c>
      <c r="E48" s="53" t="s">
        <v>632</v>
      </c>
      <c r="F48" s="62">
        <f>F46*F47^2/2</f>
        <v>174.73220261938189</v>
      </c>
      <c r="G48" s="43" t="s">
        <v>633</v>
      </c>
      <c r="H48" s="70">
        <f>H46*H47^2/2</f>
        <v>158.48725861168427</v>
      </c>
    </row>
    <row r="49" spans="1:8" ht="20.100000000000001" customHeight="1">
      <c r="A49" s="44"/>
      <c r="B49" s="45" t="s">
        <v>726</v>
      </c>
      <c r="C49" s="46" t="s">
        <v>636</v>
      </c>
      <c r="D49" s="46" t="s">
        <v>727</v>
      </c>
      <c r="E49" s="46" t="s">
        <v>728</v>
      </c>
      <c r="F49" s="47">
        <f>F45/F47/3600/2</f>
        <v>0.64319800132994576</v>
      </c>
      <c r="G49" s="43"/>
      <c r="H49" s="70">
        <f>H45/H47/3600</f>
        <v>2.7014316055857721E-2</v>
      </c>
    </row>
    <row r="50" spans="1:8" ht="20.100000000000001" customHeight="1" thickBot="1">
      <c r="A50" s="44"/>
      <c r="B50" s="46" t="s">
        <v>729</v>
      </c>
      <c r="C50" s="46" t="s">
        <v>730</v>
      </c>
      <c r="D50" s="46" t="s">
        <v>327</v>
      </c>
      <c r="E50" s="46" t="s">
        <v>731</v>
      </c>
      <c r="F50" s="47">
        <f>(F49/0.785)^0.5</f>
        <v>0.90518534635086667</v>
      </c>
      <c r="G50" s="43"/>
      <c r="H50" s="71">
        <v>0.2</v>
      </c>
    </row>
    <row r="51" spans="1:8" ht="20.100000000000001" customHeight="1">
      <c r="A51" s="44"/>
      <c r="B51" s="60" t="s">
        <v>383</v>
      </c>
      <c r="C51" s="46" t="s">
        <v>639</v>
      </c>
      <c r="D51" s="46" t="s">
        <v>327</v>
      </c>
      <c r="E51" s="53" t="s">
        <v>628</v>
      </c>
      <c r="F51" s="47">
        <v>0.8</v>
      </c>
      <c r="G51" s="43"/>
    </row>
    <row r="52" spans="1:8" ht="20.100000000000001" customHeight="1">
      <c r="A52" s="44"/>
      <c r="B52" s="60" t="s">
        <v>384</v>
      </c>
      <c r="C52" s="46" t="s">
        <v>640</v>
      </c>
      <c r="D52" s="46" t="s">
        <v>327</v>
      </c>
      <c r="E52" s="46" t="s">
        <v>641</v>
      </c>
      <c r="F52" s="47">
        <f>F49/F51</f>
        <v>0.80399750166243211</v>
      </c>
      <c r="G52" s="43"/>
    </row>
    <row r="53" spans="1:8" ht="20.100000000000001" customHeight="1">
      <c r="A53" s="44"/>
      <c r="B53" s="60" t="s">
        <v>642</v>
      </c>
      <c r="C53" s="46" t="s">
        <v>643</v>
      </c>
      <c r="D53" s="46" t="s">
        <v>327</v>
      </c>
      <c r="E53" s="46" t="s">
        <v>644</v>
      </c>
      <c r="F53" s="47">
        <f>2*(F51+F52)</f>
        <v>3.2079950033248643</v>
      </c>
      <c r="G53" s="43"/>
    </row>
    <row r="54" spans="1:8" ht="20.100000000000001" customHeight="1">
      <c r="A54" s="44"/>
      <c r="B54" s="60" t="s">
        <v>645</v>
      </c>
      <c r="C54" s="46" t="s">
        <v>646</v>
      </c>
      <c r="D54" s="46" t="s">
        <v>327</v>
      </c>
      <c r="E54" s="46" t="s">
        <v>647</v>
      </c>
      <c r="F54" s="47">
        <f>4*F49/F53</f>
        <v>0.80199376952060786</v>
      </c>
      <c r="G54" s="43" t="s">
        <v>633</v>
      </c>
    </row>
    <row r="55" spans="1:8" ht="20.100000000000001" customHeight="1">
      <c r="A55" s="44"/>
      <c r="B55" s="45" t="s">
        <v>648</v>
      </c>
      <c r="C55" s="57" t="s">
        <v>649</v>
      </c>
      <c r="D55" s="46" t="s">
        <v>732</v>
      </c>
      <c r="E55" s="46"/>
      <c r="F55" s="58">
        <f>((34.94-23.08)*(F44-100)/100+23.08)/1000000</f>
        <v>3.4940000000000001E-5</v>
      </c>
      <c r="G55" s="43" t="s">
        <v>651</v>
      </c>
    </row>
    <row r="56" spans="1:8" ht="20.100000000000001" customHeight="1">
      <c r="A56" s="44"/>
      <c r="B56" s="45" t="s">
        <v>652</v>
      </c>
      <c r="C56" s="46" t="s">
        <v>653</v>
      </c>
      <c r="D56" s="46"/>
      <c r="E56" s="46" t="s">
        <v>654</v>
      </c>
      <c r="F56" s="47">
        <f>F47*F50/F55</f>
        <v>544043.85441809392</v>
      </c>
      <c r="G56" s="43" t="s">
        <v>633</v>
      </c>
    </row>
    <row r="57" spans="1:8" ht="20.100000000000001" customHeight="1">
      <c r="A57" s="44"/>
      <c r="B57" s="59" t="s">
        <v>655</v>
      </c>
      <c r="C57" s="57" t="s">
        <v>656</v>
      </c>
      <c r="D57" s="46" t="s">
        <v>327</v>
      </c>
      <c r="E57" s="46"/>
      <c r="F57" s="58">
        <v>3.3E-4</v>
      </c>
      <c r="G57" s="43" t="s">
        <v>657</v>
      </c>
    </row>
    <row r="58" spans="1:8" ht="20.100000000000001" customHeight="1">
      <c r="A58" s="44"/>
      <c r="B58" s="59" t="s">
        <v>658</v>
      </c>
      <c r="C58" s="57" t="s">
        <v>659</v>
      </c>
      <c r="D58" s="46" t="s">
        <v>327</v>
      </c>
      <c r="E58" s="57" t="s">
        <v>660</v>
      </c>
      <c r="F58" s="58">
        <f>F57/F50</f>
        <v>3.6456621986905859E-4</v>
      </c>
      <c r="G58" s="43" t="s">
        <v>661</v>
      </c>
    </row>
    <row r="59" spans="1:8" ht="20.100000000000001" customHeight="1">
      <c r="A59" s="44"/>
      <c r="B59" s="60" t="s">
        <v>662</v>
      </c>
      <c r="C59" s="46"/>
      <c r="D59" s="46"/>
      <c r="E59" s="46"/>
      <c r="F59" s="47">
        <f>560/F58</f>
        <v>1536072.1028984403</v>
      </c>
      <c r="G59" s="43"/>
    </row>
    <row r="60" spans="1:8" ht="20.100000000000001" customHeight="1">
      <c r="A60" s="44"/>
      <c r="B60" s="45" t="s">
        <v>663</v>
      </c>
      <c r="C60" s="46"/>
      <c r="D60" s="46"/>
      <c r="E60" s="46" t="s">
        <v>664</v>
      </c>
      <c r="F60" s="47" t="s">
        <v>665</v>
      </c>
      <c r="G60" s="43" t="s">
        <v>633</v>
      </c>
    </row>
    <row r="61" spans="1:8" ht="20.100000000000001" customHeight="1">
      <c r="A61" s="55">
        <v>2.1</v>
      </c>
      <c r="B61" s="61" t="s">
        <v>667</v>
      </c>
      <c r="C61" s="57" t="s">
        <v>733</v>
      </c>
      <c r="D61" s="46" t="s">
        <v>631</v>
      </c>
      <c r="E61" s="57" t="s">
        <v>734</v>
      </c>
      <c r="F61" s="47">
        <f>F64*F63</f>
        <v>61.771111368089677</v>
      </c>
      <c r="G61" s="43" t="s">
        <v>633</v>
      </c>
    </row>
    <row r="62" spans="1:8" ht="20.100000000000001" customHeight="1">
      <c r="A62" s="44"/>
      <c r="B62" s="61" t="s">
        <v>670</v>
      </c>
      <c r="C62" s="57" t="s">
        <v>671</v>
      </c>
      <c r="D62" s="53"/>
      <c r="E62" s="53" t="s">
        <v>672</v>
      </c>
      <c r="F62" s="62">
        <v>1.6E-2</v>
      </c>
      <c r="G62" s="43" t="s">
        <v>673</v>
      </c>
    </row>
    <row r="63" spans="1:8" ht="20.100000000000001" customHeight="1">
      <c r="A63" s="44"/>
      <c r="B63" s="45" t="s">
        <v>674</v>
      </c>
      <c r="C63" s="57" t="s">
        <v>675</v>
      </c>
      <c r="D63" s="46" t="s">
        <v>676</v>
      </c>
      <c r="E63" s="57" t="s">
        <v>677</v>
      </c>
      <c r="F63" s="47">
        <f>F62*F48/F50</f>
        <v>3.0885555684044839</v>
      </c>
      <c r="G63" s="43" t="s">
        <v>633</v>
      </c>
    </row>
    <row r="64" spans="1:8" ht="20.100000000000001" customHeight="1">
      <c r="A64" s="44"/>
      <c r="B64" s="45" t="s">
        <v>678</v>
      </c>
      <c r="C64" s="46" t="s">
        <v>735</v>
      </c>
      <c r="D64" s="46" t="s">
        <v>327</v>
      </c>
      <c r="E64" s="46" t="s">
        <v>680</v>
      </c>
      <c r="F64" s="54">
        <v>20</v>
      </c>
      <c r="G64" s="43"/>
    </row>
    <row r="65" spans="1:7" ht="20.100000000000001" customHeight="1">
      <c r="A65" s="55">
        <v>2.2000000000000002</v>
      </c>
      <c r="B65" s="72" t="s">
        <v>682</v>
      </c>
      <c r="C65" s="57" t="s">
        <v>736</v>
      </c>
      <c r="D65" s="46"/>
      <c r="E65" s="46" t="s">
        <v>684</v>
      </c>
      <c r="F65" s="47">
        <f>F66*F48</f>
        <v>1013.446775192415</v>
      </c>
      <c r="G65" s="43" t="s">
        <v>657</v>
      </c>
    </row>
    <row r="66" spans="1:7" ht="20.100000000000001" customHeight="1">
      <c r="A66" s="44"/>
      <c r="B66" s="61" t="s">
        <v>685</v>
      </c>
      <c r="C66" s="46" t="s">
        <v>686</v>
      </c>
      <c r="D66" s="46"/>
      <c r="E66" s="57" t="s">
        <v>737</v>
      </c>
      <c r="F66" s="62">
        <f>F67+F68+F71+F72</f>
        <v>5.8</v>
      </c>
      <c r="G66" s="43"/>
    </row>
    <row r="67" spans="1:7" ht="20.100000000000001" customHeight="1">
      <c r="A67" s="55" t="s">
        <v>738</v>
      </c>
      <c r="B67" s="63" t="s">
        <v>739</v>
      </c>
      <c r="C67" s="57" t="s">
        <v>689</v>
      </c>
      <c r="D67" s="46"/>
      <c r="E67" s="46" t="s">
        <v>714</v>
      </c>
      <c r="F67" s="47">
        <v>0.2</v>
      </c>
      <c r="G67" s="43"/>
    </row>
    <row r="68" spans="1:7" ht="20.100000000000001" customHeight="1">
      <c r="A68" s="55" t="s">
        <v>740</v>
      </c>
      <c r="B68" s="63" t="s">
        <v>741</v>
      </c>
      <c r="C68" s="57" t="s">
        <v>693</v>
      </c>
      <c r="D68" s="46"/>
      <c r="E68" s="57" t="s">
        <v>742</v>
      </c>
      <c r="F68" s="47">
        <f>F69*F70</f>
        <v>4.1999999999999993</v>
      </c>
      <c r="G68" s="43"/>
    </row>
    <row r="69" spans="1:7" ht="20.100000000000001" customHeight="1">
      <c r="A69" s="55"/>
      <c r="B69" s="59" t="s">
        <v>743</v>
      </c>
      <c r="C69" s="57" t="s">
        <v>744</v>
      </c>
      <c r="D69" s="46"/>
      <c r="E69" s="46"/>
      <c r="F69" s="47">
        <v>6</v>
      </c>
      <c r="G69" s="43"/>
    </row>
    <row r="70" spans="1:7" ht="20.100000000000001" customHeight="1">
      <c r="A70" s="55"/>
      <c r="B70" s="59" t="s">
        <v>745</v>
      </c>
      <c r="C70" s="57" t="s">
        <v>746</v>
      </c>
      <c r="D70" s="46"/>
      <c r="E70" s="46"/>
      <c r="F70" s="47">
        <v>0.7</v>
      </c>
      <c r="G70" s="43" t="s">
        <v>717</v>
      </c>
    </row>
    <row r="71" spans="1:7" ht="20.100000000000001" customHeight="1">
      <c r="A71" s="55" t="s">
        <v>747</v>
      </c>
      <c r="B71" s="63" t="s">
        <v>748</v>
      </c>
      <c r="C71" s="57" t="s">
        <v>697</v>
      </c>
      <c r="D71" s="46"/>
      <c r="E71" s="57" t="s">
        <v>749</v>
      </c>
      <c r="F71" s="47">
        <v>0.7</v>
      </c>
      <c r="G71" s="43" t="s">
        <v>699</v>
      </c>
    </row>
    <row r="72" spans="1:7" ht="20.100000000000001" customHeight="1">
      <c r="A72" s="55" t="s">
        <v>750</v>
      </c>
      <c r="B72" s="63" t="s">
        <v>751</v>
      </c>
      <c r="C72" s="57" t="s">
        <v>752</v>
      </c>
      <c r="D72" s="46"/>
      <c r="E72" s="57" t="s">
        <v>749</v>
      </c>
      <c r="F72" s="47">
        <v>0.7</v>
      </c>
      <c r="G72" s="43" t="s">
        <v>699</v>
      </c>
    </row>
    <row r="73" spans="1:7" ht="20.100000000000001" customHeight="1">
      <c r="A73" s="55">
        <v>2.2999999999999998</v>
      </c>
      <c r="B73" s="59" t="s">
        <v>753</v>
      </c>
      <c r="C73" s="57" t="s">
        <v>754</v>
      </c>
      <c r="D73" s="57"/>
      <c r="E73" s="57" t="s">
        <v>755</v>
      </c>
      <c r="F73" s="64">
        <f>F65+F61</f>
        <v>1075.2178865605047</v>
      </c>
      <c r="G73" s="43"/>
    </row>
    <row r="74" spans="1:7" ht="20.100000000000001" customHeight="1" thickBot="1">
      <c r="A74" s="73">
        <v>3</v>
      </c>
      <c r="B74" s="74" t="s">
        <v>756</v>
      </c>
      <c r="C74" s="75" t="s">
        <v>757</v>
      </c>
      <c r="D74" s="75"/>
      <c r="E74" s="75" t="s">
        <v>758</v>
      </c>
      <c r="F74" s="76">
        <f>F73+F42+F32</f>
        <v>1255.6542664044109</v>
      </c>
      <c r="G74" s="43"/>
    </row>
  </sheetData>
  <phoneticPr fontId="3" type="noConversion"/>
  <pageMargins left="0.7" right="0.7" top="0.75" bottom="0.75" header="0.3" footer="0.3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P109"/>
  <sheetViews>
    <sheetView tabSelected="1" workbookViewId="0">
      <pane xSplit="5" ySplit="2" topLeftCell="F3" activePane="bottomRight" state="frozen"/>
      <selection pane="topRight" activeCell="G1" sqref="G1"/>
      <selection pane="bottomLeft" activeCell="A3" sqref="A3"/>
      <selection pane="bottomRight" activeCell="J25" sqref="J25"/>
    </sheetView>
  </sheetViews>
  <sheetFormatPr defaultRowHeight="15" customHeight="1"/>
  <cols>
    <col min="1" max="1" width="5.875" style="146" customWidth="1"/>
    <col min="2" max="2" width="15.875" style="146" customWidth="1"/>
    <col min="3" max="3" width="5.25" style="147" customWidth="1"/>
    <col min="4" max="4" width="5.375" style="147" customWidth="1"/>
    <col min="5" max="5" width="19.25" style="146" customWidth="1"/>
    <col min="6" max="7" width="8.625" style="146" customWidth="1"/>
    <col min="8" max="8" width="9" style="146"/>
    <col min="9" max="9" width="8.5" style="146" customWidth="1"/>
    <col min="10" max="10" width="8.125" style="146" customWidth="1"/>
    <col min="11" max="11" width="9.125" style="146" customWidth="1"/>
    <col min="12" max="12" width="8.875" style="146" customWidth="1"/>
    <col min="13" max="13" width="10.5" style="146" customWidth="1"/>
    <col min="14" max="14" width="10" style="146" customWidth="1"/>
    <col min="15" max="15" width="8.375" style="146" customWidth="1"/>
    <col min="16" max="16" width="9.125" style="146" customWidth="1"/>
    <col min="17" max="16384" width="9" style="146"/>
  </cols>
  <sheetData>
    <row r="1" spans="1:16" ht="15" customHeight="1">
      <c r="B1" s="146" t="s">
        <v>1024</v>
      </c>
    </row>
    <row r="2" spans="1:16" s="149" customFormat="1" ht="36.75" customHeight="1">
      <c r="A2" s="148"/>
      <c r="B2" s="149" t="s">
        <v>1025</v>
      </c>
      <c r="C2" s="150" t="s">
        <v>1026</v>
      </c>
      <c r="D2" s="151" t="s">
        <v>1027</v>
      </c>
      <c r="E2" s="150" t="s">
        <v>1028</v>
      </c>
      <c r="F2" s="575" t="s">
        <v>1029</v>
      </c>
      <c r="G2" s="575"/>
      <c r="H2" s="152" t="s">
        <v>1030</v>
      </c>
      <c r="I2" s="575" t="s">
        <v>1031</v>
      </c>
      <c r="J2" s="575"/>
      <c r="K2" s="575" t="s">
        <v>1032</v>
      </c>
      <c r="L2" s="575"/>
      <c r="M2" s="575" t="s">
        <v>1033</v>
      </c>
      <c r="N2" s="575"/>
      <c r="O2" s="575" t="s">
        <v>1034</v>
      </c>
      <c r="P2" s="575"/>
    </row>
    <row r="3" spans="1:16" s="149" customFormat="1" ht="15" customHeight="1">
      <c r="A3" s="148">
        <v>1</v>
      </c>
      <c r="B3" s="149" t="s">
        <v>1043</v>
      </c>
      <c r="C3" s="150"/>
      <c r="D3" s="150"/>
      <c r="F3" s="150" t="s">
        <v>1044</v>
      </c>
      <c r="G3" s="150" t="s">
        <v>1045</v>
      </c>
      <c r="H3" s="150"/>
      <c r="I3" s="150" t="s">
        <v>1044</v>
      </c>
      <c r="J3" s="150" t="s">
        <v>1045</v>
      </c>
      <c r="K3" s="150" t="s">
        <v>1044</v>
      </c>
      <c r="L3" s="150" t="s">
        <v>1045</v>
      </c>
      <c r="M3" s="150" t="s">
        <v>1044</v>
      </c>
      <c r="N3" s="150" t="s">
        <v>1045</v>
      </c>
      <c r="O3" s="150" t="s">
        <v>1044</v>
      </c>
      <c r="P3" s="150" t="s">
        <v>1045</v>
      </c>
    </row>
    <row r="4" spans="1:16" s="149" customFormat="1" ht="15" customHeight="1">
      <c r="A4" s="146" t="s">
        <v>104</v>
      </c>
      <c r="B4" s="149" t="s">
        <v>1035</v>
      </c>
      <c r="C4" s="150" t="s">
        <v>51</v>
      </c>
      <c r="D4" s="150" t="s">
        <v>1036</v>
      </c>
      <c r="F4" s="146" t="s">
        <v>1037</v>
      </c>
      <c r="G4" s="146" t="s">
        <v>1037</v>
      </c>
      <c r="H4" s="146" t="s">
        <v>1038</v>
      </c>
      <c r="I4" s="146" t="s">
        <v>1039</v>
      </c>
      <c r="J4" s="146" t="s">
        <v>1039</v>
      </c>
      <c r="K4" s="146" t="s">
        <v>1040</v>
      </c>
      <c r="L4" s="146" t="s">
        <v>1040</v>
      </c>
      <c r="M4" s="146" t="s">
        <v>1041</v>
      </c>
      <c r="N4" s="146" t="s">
        <v>1041</v>
      </c>
      <c r="O4" s="146" t="s">
        <v>1042</v>
      </c>
      <c r="P4" s="146" t="s">
        <v>1042</v>
      </c>
    </row>
    <row r="5" spans="1:16" s="149" customFormat="1" ht="27" customHeight="1">
      <c r="A5" s="146" t="s">
        <v>295</v>
      </c>
      <c r="B5" s="574" t="s">
        <v>35</v>
      </c>
      <c r="C5" s="576" t="s">
        <v>310</v>
      </c>
      <c r="D5" s="573" t="s">
        <v>285</v>
      </c>
      <c r="E5" s="577" t="s">
        <v>54</v>
      </c>
      <c r="F5" s="575" t="s">
        <v>53</v>
      </c>
      <c r="G5" s="575"/>
      <c r="H5" s="146"/>
      <c r="I5" s="146"/>
      <c r="J5" s="146"/>
      <c r="K5" s="146"/>
      <c r="L5" s="146"/>
      <c r="M5" s="146"/>
      <c r="N5" s="146"/>
      <c r="O5" s="146"/>
      <c r="P5" s="146"/>
    </row>
    <row r="6" spans="1:16" ht="15.75" customHeight="1">
      <c r="A6" s="146" t="s">
        <v>296</v>
      </c>
      <c r="B6" s="574"/>
      <c r="C6" s="576"/>
      <c r="D6" s="573"/>
      <c r="E6" s="577"/>
      <c r="F6" s="180">
        <v>9.9</v>
      </c>
      <c r="G6" s="180">
        <v>9.9</v>
      </c>
    </row>
    <row r="7" spans="1:16" ht="24" customHeight="1">
      <c r="A7" s="146" t="s">
        <v>297</v>
      </c>
      <c r="B7" s="574" t="s">
        <v>36</v>
      </c>
      <c r="C7" s="573" t="s">
        <v>618</v>
      </c>
      <c r="D7" s="573" t="s">
        <v>291</v>
      </c>
      <c r="E7" s="574" t="s">
        <v>55</v>
      </c>
      <c r="F7" s="575" t="s">
        <v>58</v>
      </c>
      <c r="G7" s="575"/>
    </row>
    <row r="8" spans="1:16" ht="15" customHeight="1">
      <c r="A8" s="146" t="s">
        <v>298</v>
      </c>
      <c r="B8" s="574"/>
      <c r="C8" s="573"/>
      <c r="D8" s="573"/>
      <c r="E8" s="574"/>
      <c r="F8" s="146">
        <v>545</v>
      </c>
      <c r="G8" s="146">
        <v>545</v>
      </c>
    </row>
    <row r="9" spans="1:16" ht="15" customHeight="1">
      <c r="A9" s="146" t="s">
        <v>299</v>
      </c>
      <c r="B9" s="146" t="s">
        <v>37</v>
      </c>
      <c r="E9" s="146" t="s">
        <v>39</v>
      </c>
      <c r="F9" s="573" t="s">
        <v>98</v>
      </c>
      <c r="G9" s="573"/>
    </row>
    <row r="10" spans="1:16" ht="15" customHeight="1">
      <c r="A10" s="146" t="s">
        <v>300</v>
      </c>
      <c r="B10" s="146" t="s">
        <v>38</v>
      </c>
      <c r="C10" s="147" t="s">
        <v>56</v>
      </c>
      <c r="D10" s="147" t="s">
        <v>285</v>
      </c>
      <c r="E10" s="146" t="s">
        <v>39</v>
      </c>
      <c r="F10" s="146">
        <v>65</v>
      </c>
    </row>
    <row r="11" spans="1:16" ht="15" customHeight="1">
      <c r="A11" s="146" t="s">
        <v>301</v>
      </c>
      <c r="B11" s="146" t="s">
        <v>59</v>
      </c>
      <c r="C11" s="147" t="s">
        <v>60</v>
      </c>
      <c r="D11" s="147" t="s">
        <v>285</v>
      </c>
      <c r="E11" s="146" t="s">
        <v>39</v>
      </c>
      <c r="F11" s="146">
        <v>157</v>
      </c>
    </row>
    <row r="12" spans="1:16" ht="15" customHeight="1">
      <c r="A12" s="146" t="s">
        <v>302</v>
      </c>
      <c r="B12" s="146" t="s">
        <v>40</v>
      </c>
      <c r="C12" s="147" t="s">
        <v>41</v>
      </c>
      <c r="D12" s="147" t="s">
        <v>285</v>
      </c>
      <c r="E12" s="146" t="s">
        <v>57</v>
      </c>
      <c r="F12" s="184">
        <f>F6*F11/F10</f>
        <v>23.912307692307692</v>
      </c>
    </row>
    <row r="13" spans="1:16" ht="15" customHeight="1">
      <c r="A13" s="146" t="s">
        <v>303</v>
      </c>
      <c r="B13" s="146" t="s">
        <v>42</v>
      </c>
      <c r="C13" s="147" t="s">
        <v>43</v>
      </c>
      <c r="D13" s="147" t="s">
        <v>286</v>
      </c>
      <c r="E13" s="146" t="s">
        <v>44</v>
      </c>
      <c r="F13" s="146">
        <v>97</v>
      </c>
    </row>
    <row r="14" spans="1:16" ht="15" customHeight="1">
      <c r="A14" s="146" t="s">
        <v>304</v>
      </c>
      <c r="B14" s="146" t="s">
        <v>61</v>
      </c>
      <c r="C14" s="147" t="s">
        <v>62</v>
      </c>
      <c r="D14" s="150" t="s">
        <v>1036</v>
      </c>
      <c r="F14" s="159">
        <v>40</v>
      </c>
    </row>
    <row r="15" spans="1:16" ht="15" customHeight="1">
      <c r="A15" s="146" t="s">
        <v>305</v>
      </c>
      <c r="B15" s="146" t="s">
        <v>45</v>
      </c>
      <c r="C15" s="147" t="s">
        <v>46</v>
      </c>
      <c r="D15" s="147" t="s">
        <v>47</v>
      </c>
      <c r="E15" s="146" t="s">
        <v>1019</v>
      </c>
      <c r="F15" s="146">
        <f>V_PT($F$6,$F$8)</f>
        <v>3.5759624730955619E-2</v>
      </c>
    </row>
    <row r="16" spans="1:16" ht="15" customHeight="1">
      <c r="A16" s="146" t="s">
        <v>306</v>
      </c>
      <c r="B16" s="146" t="s">
        <v>48</v>
      </c>
      <c r="C16" s="147" t="s">
        <v>49</v>
      </c>
      <c r="D16" s="147" t="s">
        <v>50</v>
      </c>
      <c r="E16" s="146" t="s">
        <v>52</v>
      </c>
      <c r="F16" s="181">
        <f>594.7*SQRT(F13*F15/F14)</f>
        <v>175.12586211338422</v>
      </c>
    </row>
    <row r="17" spans="1:6" ht="15" customHeight="1">
      <c r="A17" s="146" t="s">
        <v>307</v>
      </c>
      <c r="B17" s="146" t="s">
        <v>63</v>
      </c>
      <c r="C17" s="147" t="s">
        <v>64</v>
      </c>
      <c r="E17" s="146" t="s">
        <v>65</v>
      </c>
      <c r="F17" s="146">
        <v>0.4</v>
      </c>
    </row>
    <row r="18" spans="1:6" ht="15" customHeight="1">
      <c r="A18" s="146" t="s">
        <v>308</v>
      </c>
      <c r="B18" s="146" t="s">
        <v>66</v>
      </c>
      <c r="C18" s="147" t="s">
        <v>67</v>
      </c>
      <c r="E18" s="146" t="s">
        <v>68</v>
      </c>
      <c r="F18" s="146">
        <v>1</v>
      </c>
    </row>
    <row r="19" spans="1:6" ht="15" customHeight="1">
      <c r="A19" s="146" t="s">
        <v>309</v>
      </c>
      <c r="B19" s="146" t="s">
        <v>69</v>
      </c>
      <c r="C19" s="147" t="s">
        <v>70</v>
      </c>
      <c r="D19" s="147" t="s">
        <v>50</v>
      </c>
      <c r="E19" s="146" t="s">
        <v>71</v>
      </c>
      <c r="F19" s="146">
        <v>0</v>
      </c>
    </row>
    <row r="20" spans="1:6" ht="15" customHeight="1">
      <c r="A20" s="146" t="s">
        <v>311</v>
      </c>
      <c r="B20" s="146" t="s">
        <v>72</v>
      </c>
      <c r="C20" s="147" t="s">
        <v>73</v>
      </c>
      <c r="D20" s="147" t="s">
        <v>50</v>
      </c>
      <c r="E20" s="146" t="s">
        <v>74</v>
      </c>
      <c r="F20" s="146">
        <f>(F6*F16+2*F10*F18*F19+2*F17*F6*F19)/(2*F10*F18-2*F6*(1-F17))</f>
        <v>14.677836394535252</v>
      </c>
    </row>
    <row r="21" spans="1:6" ht="15" customHeight="1">
      <c r="A21" s="146" t="s">
        <v>322</v>
      </c>
      <c r="B21" s="146" t="s">
        <v>75</v>
      </c>
      <c r="C21" s="147" t="s">
        <v>639</v>
      </c>
      <c r="E21" s="146" t="s">
        <v>76</v>
      </c>
      <c r="F21" s="146">
        <v>5.2999999999999999E-2</v>
      </c>
    </row>
    <row r="22" spans="1:6" ht="15" customHeight="1">
      <c r="A22" s="146" t="s">
        <v>323</v>
      </c>
      <c r="B22" s="146" t="s">
        <v>77</v>
      </c>
      <c r="C22" s="147" t="s">
        <v>78</v>
      </c>
      <c r="D22" s="147" t="s">
        <v>50</v>
      </c>
      <c r="E22" s="146" t="s">
        <v>79</v>
      </c>
      <c r="F22" s="146">
        <f>F20*F21</f>
        <v>0.77792532891036836</v>
      </c>
    </row>
    <row r="23" spans="1:6" ht="15" customHeight="1">
      <c r="A23" s="146" t="s">
        <v>324</v>
      </c>
      <c r="B23" s="146" t="s">
        <v>80</v>
      </c>
      <c r="C23" s="147" t="s">
        <v>81</v>
      </c>
      <c r="D23" s="147" t="s">
        <v>50</v>
      </c>
      <c r="E23" s="146" t="s">
        <v>82</v>
      </c>
      <c r="F23" s="181">
        <f>F20+F22</f>
        <v>15.455761723445621</v>
      </c>
    </row>
    <row r="24" spans="1:6" ht="15" customHeight="1">
      <c r="A24" s="146" t="s">
        <v>312</v>
      </c>
      <c r="B24" s="146" t="s">
        <v>83</v>
      </c>
      <c r="C24" s="147" t="s">
        <v>84</v>
      </c>
      <c r="D24" s="147" t="s">
        <v>50</v>
      </c>
      <c r="E24" s="146" t="s">
        <v>85</v>
      </c>
      <c r="F24" s="146">
        <f>F23*2+F16</f>
        <v>206.03738556027545</v>
      </c>
    </row>
    <row r="25" spans="1:6" ht="15" customHeight="1">
      <c r="A25" s="146" t="s">
        <v>313</v>
      </c>
      <c r="B25" s="182" t="s">
        <v>86</v>
      </c>
      <c r="C25" s="183" t="s">
        <v>87</v>
      </c>
      <c r="D25" s="183" t="s">
        <v>50</v>
      </c>
      <c r="E25" s="182"/>
      <c r="F25" s="182">
        <v>150</v>
      </c>
    </row>
    <row r="26" spans="1:6" ht="15" customHeight="1">
      <c r="A26" s="146" t="s">
        <v>314</v>
      </c>
      <c r="B26" s="182" t="s">
        <v>88</v>
      </c>
      <c r="C26" s="183" t="s">
        <v>90</v>
      </c>
      <c r="D26" s="183" t="s">
        <v>50</v>
      </c>
      <c r="E26" s="182"/>
      <c r="F26" s="182">
        <v>194</v>
      </c>
    </row>
    <row r="27" spans="1:6" ht="15" customHeight="1">
      <c r="A27" s="146" t="s">
        <v>315</v>
      </c>
      <c r="B27" s="182" t="s">
        <v>89</v>
      </c>
      <c r="C27" s="183" t="s">
        <v>91</v>
      </c>
      <c r="D27" s="183" t="s">
        <v>50</v>
      </c>
      <c r="E27" s="182"/>
      <c r="F27" s="182">
        <v>18</v>
      </c>
    </row>
    <row r="28" spans="1:6" ht="15" customHeight="1">
      <c r="A28" s="146" t="s">
        <v>316</v>
      </c>
      <c r="B28" s="182" t="s">
        <v>95</v>
      </c>
      <c r="C28" s="183" t="s">
        <v>92</v>
      </c>
      <c r="D28" s="183" t="s">
        <v>50</v>
      </c>
      <c r="E28" s="183"/>
      <c r="F28" s="182">
        <f>F26-2*F27</f>
        <v>158</v>
      </c>
    </row>
    <row r="29" spans="1:6" ht="15" customHeight="1">
      <c r="A29" s="146" t="s">
        <v>317</v>
      </c>
      <c r="B29" s="146" t="s">
        <v>93</v>
      </c>
      <c r="C29" s="147" t="s">
        <v>94</v>
      </c>
      <c r="D29" s="150" t="s">
        <v>1036</v>
      </c>
      <c r="F29" s="146">
        <f>F13*F15/(F28/594.7)^2</f>
        <v>49.141271560576932</v>
      </c>
    </row>
    <row r="30" spans="1:6" ht="15" customHeight="1">
      <c r="A30" s="146" t="s">
        <v>318</v>
      </c>
      <c r="B30" s="146" t="s">
        <v>96</v>
      </c>
      <c r="F30" s="182" t="s">
        <v>97</v>
      </c>
    </row>
    <row r="51" spans="1:16" s="149" customFormat="1" ht="15" customHeight="1">
      <c r="A51" s="148"/>
      <c r="C51" s="150"/>
      <c r="D51" s="150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</row>
    <row r="52" spans="1:16" s="149" customFormat="1" ht="15" customHeight="1">
      <c r="A52" s="148">
        <v>1</v>
      </c>
      <c r="B52" s="149" t="s">
        <v>1043</v>
      </c>
      <c r="C52" s="150"/>
      <c r="D52" s="150"/>
      <c r="F52" s="150" t="s">
        <v>1044</v>
      </c>
      <c r="G52" s="150" t="s">
        <v>1045</v>
      </c>
      <c r="H52" s="150"/>
      <c r="I52" s="150" t="s">
        <v>1044</v>
      </c>
      <c r="J52" s="150" t="s">
        <v>1045</v>
      </c>
      <c r="K52" s="150" t="s">
        <v>1044</v>
      </c>
      <c r="L52" s="150" t="s">
        <v>1045</v>
      </c>
      <c r="M52" s="150" t="s">
        <v>1044</v>
      </c>
      <c r="N52" s="150" t="s">
        <v>1045</v>
      </c>
      <c r="O52" s="150" t="s">
        <v>1044</v>
      </c>
      <c r="P52" s="150" t="s">
        <v>1045</v>
      </c>
    </row>
    <row r="53" spans="1:16" ht="15" customHeight="1">
      <c r="B53" s="146" t="s">
        <v>1046</v>
      </c>
      <c r="C53" s="147" t="s">
        <v>1047</v>
      </c>
      <c r="D53" s="150" t="s">
        <v>1048</v>
      </c>
      <c r="E53" s="153" t="s">
        <v>1049</v>
      </c>
      <c r="F53" s="146">
        <v>5.3</v>
      </c>
      <c r="G53" s="146">
        <v>5.3</v>
      </c>
      <c r="H53" s="146">
        <v>0.9</v>
      </c>
      <c r="I53" s="146">
        <f>0.02+0.175</f>
        <v>0.19499999999999998</v>
      </c>
      <c r="J53" s="146">
        <f>0.02+0.175</f>
        <v>0.19499999999999998</v>
      </c>
      <c r="K53" s="146">
        <f>7.7+I53</f>
        <v>7.8950000000000005</v>
      </c>
      <c r="L53" s="146">
        <f>7.7+J53</f>
        <v>7.8950000000000005</v>
      </c>
      <c r="M53" s="146">
        <v>0.04</v>
      </c>
      <c r="N53" s="146">
        <v>0.04</v>
      </c>
      <c r="O53" s="146">
        <f>0.36+M53</f>
        <v>0.39999999999999997</v>
      </c>
      <c r="P53" s="146">
        <f>0.36+N53</f>
        <v>0.39999999999999997</v>
      </c>
    </row>
    <row r="54" spans="1:16" ht="15" customHeight="1">
      <c r="B54" s="146" t="s">
        <v>1050</v>
      </c>
      <c r="C54" s="147" t="s">
        <v>1051</v>
      </c>
      <c r="D54" s="154" t="s">
        <v>1052</v>
      </c>
      <c r="E54" s="153" t="s">
        <v>1049</v>
      </c>
      <c r="F54" s="146">
        <v>485</v>
      </c>
      <c r="G54" s="146">
        <v>485</v>
      </c>
      <c r="H54" s="146">
        <v>280</v>
      </c>
      <c r="I54" s="146">
        <v>104</v>
      </c>
      <c r="J54" s="146">
        <v>104</v>
      </c>
      <c r="K54" s="146">
        <v>104</v>
      </c>
      <c r="L54" s="146">
        <v>104</v>
      </c>
      <c r="M54" s="146">
        <v>30</v>
      </c>
      <c r="N54" s="146">
        <v>30</v>
      </c>
      <c r="O54" s="146">
        <v>30</v>
      </c>
      <c r="P54" s="146">
        <v>30</v>
      </c>
    </row>
    <row r="55" spans="1:16" ht="15" customHeight="1">
      <c r="B55" s="146" t="s">
        <v>1020</v>
      </c>
      <c r="C55" s="147" t="s">
        <v>1053</v>
      </c>
      <c r="D55" s="147" t="s">
        <v>1054</v>
      </c>
      <c r="E55" s="153" t="s">
        <v>1049</v>
      </c>
      <c r="F55" s="146">
        <v>80</v>
      </c>
      <c r="G55" s="146">
        <f>F55*4</f>
        <v>320</v>
      </c>
      <c r="H55" s="146">
        <v>35.4</v>
      </c>
      <c r="I55" s="146">
        <v>88</v>
      </c>
      <c r="J55" s="146">
        <f>I55*4</f>
        <v>352</v>
      </c>
      <c r="K55" s="146">
        <v>88</v>
      </c>
      <c r="L55" s="146">
        <f>K55*4</f>
        <v>352</v>
      </c>
      <c r="M55" s="146">
        <v>80</v>
      </c>
      <c r="N55" s="146">
        <f>M55*4</f>
        <v>320</v>
      </c>
      <c r="O55" s="146">
        <v>80</v>
      </c>
      <c r="P55" s="146">
        <f>O55*4</f>
        <v>320</v>
      </c>
    </row>
    <row r="56" spans="1:16" ht="15" customHeight="1">
      <c r="B56" s="146" t="s">
        <v>1055</v>
      </c>
      <c r="C56" s="147" t="s">
        <v>1056</v>
      </c>
      <c r="D56" s="147" t="s">
        <v>1021</v>
      </c>
      <c r="E56" s="146" t="s">
        <v>1057</v>
      </c>
      <c r="F56" s="146">
        <v>6.1831700000000003E-2</v>
      </c>
      <c r="G56" s="146">
        <v>6.1831700000000003E-2</v>
      </c>
      <c r="H56" s="146">
        <v>0.24799789999999999</v>
      </c>
      <c r="I56" s="146">
        <v>1.0466E-3</v>
      </c>
      <c r="J56" s="146">
        <v>1.0466E-3</v>
      </c>
      <c r="K56" s="146">
        <v>1.0426999999999999E-3</v>
      </c>
      <c r="L56" s="146">
        <v>1.0426999999999999E-3</v>
      </c>
      <c r="M56" s="146">
        <v>1E-3</v>
      </c>
      <c r="N56" s="146">
        <v>1E-3</v>
      </c>
      <c r="O56" s="146">
        <f>M56</f>
        <v>1E-3</v>
      </c>
      <c r="P56" s="146">
        <f>N56</f>
        <v>1E-3</v>
      </c>
    </row>
    <row r="57" spans="1:16" ht="15" customHeight="1">
      <c r="B57" s="155" t="s">
        <v>1058</v>
      </c>
      <c r="C57" s="156" t="s">
        <v>1059</v>
      </c>
      <c r="D57" s="150" t="s">
        <v>1022</v>
      </c>
      <c r="E57" s="146" t="s">
        <v>1057</v>
      </c>
      <c r="F57" s="157">
        <v>1.7348999999999999E-6</v>
      </c>
      <c r="G57" s="157">
        <f>F57</f>
        <v>1.7348999999999999E-6</v>
      </c>
      <c r="H57" s="158">
        <v>4.7939E-6</v>
      </c>
      <c r="I57" s="158">
        <v>2.8290000000000003E-7</v>
      </c>
      <c r="J57" s="158">
        <f>I57</f>
        <v>2.8290000000000003E-7</v>
      </c>
      <c r="K57" s="158">
        <v>2.84E-7</v>
      </c>
      <c r="L57" s="158">
        <f>K57</f>
        <v>2.84E-7</v>
      </c>
      <c r="M57" s="158">
        <v>8.0090000000000003E-7</v>
      </c>
      <c r="N57" s="158">
        <f>M57</f>
        <v>8.0090000000000003E-7</v>
      </c>
      <c r="O57" s="158">
        <f>M57</f>
        <v>8.0090000000000003E-7</v>
      </c>
      <c r="P57" s="158">
        <f>M57</f>
        <v>8.0090000000000003E-7</v>
      </c>
    </row>
    <row r="58" spans="1:16" ht="15" customHeight="1">
      <c r="B58" s="146" t="s">
        <v>1060</v>
      </c>
      <c r="C58" s="147" t="s">
        <v>1061</v>
      </c>
      <c r="D58" s="147" t="s">
        <v>1036</v>
      </c>
      <c r="E58" s="159" t="s">
        <v>1062</v>
      </c>
      <c r="F58" s="146">
        <v>50</v>
      </c>
      <c r="G58" s="146">
        <v>50</v>
      </c>
      <c r="H58" s="146">
        <v>50</v>
      </c>
      <c r="I58" s="146">
        <v>1.5</v>
      </c>
      <c r="J58" s="146">
        <v>1.5</v>
      </c>
      <c r="K58" s="146">
        <v>3</v>
      </c>
      <c r="L58" s="146">
        <v>3</v>
      </c>
      <c r="M58" s="146">
        <v>1</v>
      </c>
      <c r="N58" s="146">
        <v>1</v>
      </c>
      <c r="O58" s="146">
        <v>3</v>
      </c>
      <c r="P58" s="146">
        <v>3</v>
      </c>
    </row>
    <row r="59" spans="1:16" ht="15" customHeight="1">
      <c r="B59" s="159" t="s">
        <v>1063</v>
      </c>
      <c r="C59" s="147" t="s">
        <v>1061</v>
      </c>
      <c r="E59" s="160" t="s">
        <v>1064</v>
      </c>
      <c r="F59" s="146">
        <f t="shared" ref="F59:P59" si="0">0.3537*F55*F56/F63^2</f>
        <v>40.053794171378861</v>
      </c>
      <c r="G59" s="146">
        <f t="shared" si="0"/>
        <v>52.243715345337279</v>
      </c>
      <c r="H59" s="146">
        <f t="shared" si="0"/>
        <v>46.289959093364736</v>
      </c>
      <c r="I59" s="146">
        <f t="shared" si="0"/>
        <v>1.5493960979785972</v>
      </c>
      <c r="J59" s="146">
        <f t="shared" si="0"/>
        <v>1.9424905985301355</v>
      </c>
      <c r="K59" s="146">
        <f t="shared" si="0"/>
        <v>1.5436225027348394</v>
      </c>
      <c r="L59" s="146">
        <f t="shared" si="0"/>
        <v>3.2132534462018261</v>
      </c>
      <c r="M59" s="146">
        <f t="shared" si="0"/>
        <v>0.66036546943919339</v>
      </c>
      <c r="N59" s="146">
        <f t="shared" si="0"/>
        <v>1.1854086153266095</v>
      </c>
      <c r="O59" s="146">
        <f t="shared" si="0"/>
        <v>2.8295999999999992</v>
      </c>
      <c r="P59" s="146">
        <f t="shared" si="0"/>
        <v>2.6414618777567735</v>
      </c>
    </row>
    <row r="60" spans="1:16" s="149" customFormat="1" ht="15" customHeight="1">
      <c r="A60" s="148"/>
      <c r="B60" s="161" t="s">
        <v>1065</v>
      </c>
      <c r="C60" s="162" t="s">
        <v>1066</v>
      </c>
      <c r="D60" s="162" t="s">
        <v>1067</v>
      </c>
      <c r="E60" s="162" t="s">
        <v>1068</v>
      </c>
      <c r="F60" s="163">
        <f t="shared" ref="F60:P60" si="1">F59^2/2/F56</f>
        <v>12973.170942438774</v>
      </c>
      <c r="G60" s="163">
        <f t="shared" si="1"/>
        <v>22071.249804587529</v>
      </c>
      <c r="H60" s="163">
        <f t="shared" si="1"/>
        <v>4320.1178575814156</v>
      </c>
      <c r="I60" s="163">
        <f t="shared" si="1"/>
        <v>1146.8699925622504</v>
      </c>
      <c r="J60" s="163">
        <f t="shared" si="1"/>
        <v>1802.6322020724078</v>
      </c>
      <c r="K60" s="163">
        <f t="shared" si="1"/>
        <v>1142.5963512752323</v>
      </c>
      <c r="L60" s="163">
        <f t="shared" si="1"/>
        <v>4951.0874218509216</v>
      </c>
      <c r="M60" s="163">
        <f t="shared" si="1"/>
        <v>218.04127661382313</v>
      </c>
      <c r="N60" s="163">
        <f t="shared" si="1"/>
        <v>702.59679264527472</v>
      </c>
      <c r="O60" s="163">
        <f t="shared" si="1"/>
        <v>4003.3180799999977</v>
      </c>
      <c r="P60" s="163">
        <f t="shared" si="1"/>
        <v>3488.6604258211701</v>
      </c>
    </row>
    <row r="61" spans="1:16" s="149" customFormat="1" ht="15" customHeight="1">
      <c r="A61" s="148"/>
      <c r="B61" s="149" t="s">
        <v>1069</v>
      </c>
      <c r="C61" s="150" t="s">
        <v>1070</v>
      </c>
      <c r="D61" s="150" t="s">
        <v>1071</v>
      </c>
      <c r="F61" s="149">
        <v>0.245</v>
      </c>
      <c r="G61" s="146">
        <v>0.42599999999999999</v>
      </c>
      <c r="H61" s="149">
        <v>0.27300000000000002</v>
      </c>
      <c r="I61" s="149">
        <v>0.159</v>
      </c>
      <c r="J61" s="149">
        <v>0.27300000000000002</v>
      </c>
      <c r="K61" s="149">
        <v>0.159</v>
      </c>
      <c r="L61" s="149">
        <v>0.219</v>
      </c>
      <c r="M61" s="149">
        <v>0.219</v>
      </c>
      <c r="N61" s="149">
        <v>0.32500000000000001</v>
      </c>
      <c r="O61" s="149">
        <v>0.108</v>
      </c>
      <c r="P61" s="149">
        <v>0.219</v>
      </c>
    </row>
    <row r="62" spans="1:16" ht="15" customHeight="1">
      <c r="B62" s="147" t="s">
        <v>1072</v>
      </c>
      <c r="C62" s="147" t="s">
        <v>1073</v>
      </c>
      <c r="D62" s="150" t="s">
        <v>1071</v>
      </c>
      <c r="E62" s="153"/>
      <c r="F62" s="146">
        <v>1.7999999999999999E-2</v>
      </c>
      <c r="G62" s="146">
        <v>0.03</v>
      </c>
      <c r="H62" s="146">
        <v>7.0000000000000001E-3</v>
      </c>
      <c r="I62" s="146">
        <v>7.0000000000000001E-3</v>
      </c>
      <c r="J62" s="146">
        <v>7.0000000000000001E-3</v>
      </c>
      <c r="K62" s="146">
        <v>7.0000000000000001E-3</v>
      </c>
      <c r="L62" s="146">
        <v>8.9999999999999993E-3</v>
      </c>
      <c r="M62" s="146">
        <v>6.0000000000000001E-3</v>
      </c>
      <c r="N62" s="146">
        <v>8.0000000000000002E-3</v>
      </c>
      <c r="O62" s="146">
        <v>4.0000000000000001E-3</v>
      </c>
      <c r="P62" s="146">
        <v>6.0000000000000001E-3</v>
      </c>
    </row>
    <row r="63" spans="1:16" ht="15" customHeight="1">
      <c r="B63" s="147" t="s">
        <v>1074</v>
      </c>
      <c r="C63" s="147" t="s">
        <v>1075</v>
      </c>
      <c r="D63" s="154" t="s">
        <v>1071</v>
      </c>
      <c r="E63" s="153"/>
      <c r="F63" s="164">
        <f t="shared" ref="F63:P63" si="2">F61-2*F62</f>
        <v>0.20899999999999999</v>
      </c>
      <c r="G63" s="146">
        <f t="shared" si="2"/>
        <v>0.36599999999999999</v>
      </c>
      <c r="H63" s="164">
        <f t="shared" si="2"/>
        <v>0.25900000000000001</v>
      </c>
      <c r="I63" s="146">
        <f t="shared" si="2"/>
        <v>0.14499999999999999</v>
      </c>
      <c r="J63" s="146">
        <f t="shared" si="2"/>
        <v>0.25900000000000001</v>
      </c>
      <c r="K63" s="146">
        <f t="shared" si="2"/>
        <v>0.14499999999999999</v>
      </c>
      <c r="L63" s="146">
        <f t="shared" si="2"/>
        <v>0.20100000000000001</v>
      </c>
      <c r="M63" s="146">
        <f t="shared" si="2"/>
        <v>0.20699999999999999</v>
      </c>
      <c r="N63" s="146">
        <f t="shared" si="2"/>
        <v>0.309</v>
      </c>
      <c r="O63" s="164">
        <f t="shared" si="2"/>
        <v>0.1</v>
      </c>
      <c r="P63" s="146">
        <f t="shared" si="2"/>
        <v>0.20699999999999999</v>
      </c>
    </row>
    <row r="64" spans="1:16" ht="15" customHeight="1">
      <c r="B64" s="147"/>
      <c r="D64" s="154"/>
      <c r="E64" s="153"/>
      <c r="F64" s="164"/>
      <c r="H64" s="164"/>
      <c r="I64" s="164"/>
      <c r="O64" s="164"/>
    </row>
    <row r="65" spans="1:16" ht="15" customHeight="1">
      <c r="A65" s="146">
        <v>2</v>
      </c>
      <c r="B65" s="147" t="s">
        <v>1076</v>
      </c>
      <c r="D65" s="154"/>
      <c r="E65" s="153"/>
      <c r="F65" s="164"/>
      <c r="H65" s="164"/>
      <c r="I65" s="164"/>
      <c r="O65" s="164"/>
    </row>
    <row r="66" spans="1:16" s="149" customFormat="1" ht="15" customHeight="1">
      <c r="A66" s="148">
        <v>2.1</v>
      </c>
      <c r="B66" s="161" t="s">
        <v>1077</v>
      </c>
      <c r="C66" s="156" t="s">
        <v>1078</v>
      </c>
      <c r="D66" s="150" t="s">
        <v>1067</v>
      </c>
      <c r="E66" s="156" t="s">
        <v>1079</v>
      </c>
      <c r="F66" s="165">
        <f t="shared" ref="F66:L66" si="3">F71*F72</f>
        <v>42830.085886520355</v>
      </c>
      <c r="G66" s="165">
        <f t="shared" si="3"/>
        <v>78395.149579136036</v>
      </c>
      <c r="H66" s="165">
        <f t="shared" si="3"/>
        <v>13510.793299771994</v>
      </c>
      <c r="I66" s="165">
        <f t="shared" si="3"/>
        <v>3915.176871160787</v>
      </c>
      <c r="J66" s="165">
        <f t="shared" si="3"/>
        <v>1774.7923225037221</v>
      </c>
      <c r="K66" s="165">
        <f t="shared" si="3"/>
        <v>8707.3721942009088</v>
      </c>
      <c r="L66" s="165">
        <f t="shared" si="3"/>
        <v>9606.5875349346225</v>
      </c>
      <c r="M66" s="166">
        <f>M72*M71</f>
        <v>18.960111009897663</v>
      </c>
      <c r="N66" s="166">
        <f>N72*N71</f>
        <v>35.243528433662647</v>
      </c>
      <c r="O66" s="166">
        <f>O72*O71</f>
        <v>2221.8415343999986</v>
      </c>
      <c r="P66" s="166">
        <f>P72*P71</f>
        <v>13482.74560703834</v>
      </c>
    </row>
    <row r="67" spans="1:16" ht="15" customHeight="1">
      <c r="B67" s="155" t="s">
        <v>1080</v>
      </c>
      <c r="C67" s="147" t="s">
        <v>1081</v>
      </c>
      <c r="D67" s="150"/>
      <c r="E67" s="149" t="s">
        <v>1082</v>
      </c>
      <c r="F67" s="157">
        <f t="shared" ref="F67:P67" si="4">F59*F63/F57</f>
        <v>4825202.018455347</v>
      </c>
      <c r="G67" s="157">
        <f t="shared" si="4"/>
        <v>11021499.692428062</v>
      </c>
      <c r="H67" s="157">
        <f t="shared" si="4"/>
        <v>2500907.2790799695</v>
      </c>
      <c r="I67" s="157">
        <f t="shared" si="4"/>
        <v>794140.80666983582</v>
      </c>
      <c r="J67" s="157">
        <f t="shared" si="4"/>
        <v>1778384.8180251149</v>
      </c>
      <c r="K67" s="157">
        <f t="shared" si="4"/>
        <v>788117.12287518196</v>
      </c>
      <c r="L67" s="157">
        <f t="shared" si="4"/>
        <v>2274168.8122766446</v>
      </c>
      <c r="M67" s="157">
        <f t="shared" si="4"/>
        <v>170677.55297029967</v>
      </c>
      <c r="N67" s="157">
        <f t="shared" si="4"/>
        <v>457349.55941556039</v>
      </c>
      <c r="O67" s="157">
        <f t="shared" si="4"/>
        <v>353302.53464852029</v>
      </c>
      <c r="P67" s="157">
        <f t="shared" si="4"/>
        <v>682710.21188119869</v>
      </c>
    </row>
    <row r="68" spans="1:16" ht="15" customHeight="1">
      <c r="B68" s="155" t="s">
        <v>1083</v>
      </c>
      <c r="C68" s="147" t="s">
        <v>1084</v>
      </c>
      <c r="D68" s="150" t="s">
        <v>1085</v>
      </c>
      <c r="E68" s="149"/>
      <c r="F68" s="167">
        <v>0.06</v>
      </c>
      <c r="G68" s="167">
        <v>0.06</v>
      </c>
      <c r="H68" s="167">
        <v>0.06</v>
      </c>
      <c r="I68" s="167">
        <v>0.06</v>
      </c>
      <c r="J68" s="167">
        <v>0.06</v>
      </c>
      <c r="K68" s="167">
        <v>0.06</v>
      </c>
      <c r="L68" s="167">
        <v>0.06</v>
      </c>
      <c r="M68" s="167">
        <v>0.06</v>
      </c>
      <c r="N68" s="167">
        <v>0.06</v>
      </c>
      <c r="O68" s="167">
        <v>0.06</v>
      </c>
      <c r="P68" s="167">
        <v>0.06</v>
      </c>
    </row>
    <row r="69" spans="1:16" ht="15" customHeight="1">
      <c r="B69" s="155" t="s">
        <v>1086</v>
      </c>
      <c r="C69" s="147" t="s">
        <v>1087</v>
      </c>
      <c r="D69" s="150"/>
      <c r="E69" s="147"/>
      <c r="F69" s="158">
        <f t="shared" ref="F69:P69" si="5">F68/F63/1000</f>
        <v>2.8708133971291867E-4</v>
      </c>
      <c r="G69" s="158">
        <f t="shared" si="5"/>
        <v>1.639344262295082E-4</v>
      </c>
      <c r="H69" s="158">
        <f t="shared" si="5"/>
        <v>2.3166023166023165E-4</v>
      </c>
      <c r="I69" s="158">
        <f t="shared" si="5"/>
        <v>4.1379310344827585E-4</v>
      </c>
      <c r="J69" s="158">
        <f t="shared" si="5"/>
        <v>2.3166023166023165E-4</v>
      </c>
      <c r="K69" s="158">
        <f t="shared" si="5"/>
        <v>4.1379310344827585E-4</v>
      </c>
      <c r="L69" s="158">
        <f t="shared" si="5"/>
        <v>2.9850746268656711E-4</v>
      </c>
      <c r="M69" s="158">
        <f t="shared" si="5"/>
        <v>2.8985507246376811E-4</v>
      </c>
      <c r="N69" s="158">
        <f t="shared" si="5"/>
        <v>1.9417475728155338E-4</v>
      </c>
      <c r="O69" s="158">
        <f t="shared" si="5"/>
        <v>5.9999999999999995E-4</v>
      </c>
      <c r="P69" s="158">
        <f t="shared" si="5"/>
        <v>2.8985507246376811E-4</v>
      </c>
    </row>
    <row r="70" spans="1:16" ht="15" customHeight="1">
      <c r="B70" s="168" t="s">
        <v>1088</v>
      </c>
      <c r="C70" s="147" t="s">
        <v>1089</v>
      </c>
      <c r="D70" s="154"/>
      <c r="E70" s="169" t="s">
        <v>1090</v>
      </c>
      <c r="F70" s="146">
        <v>1.4999999999999999E-2</v>
      </c>
      <c r="G70" s="146">
        <v>1.2999999999999999E-2</v>
      </c>
      <c r="H70" s="146">
        <v>1.4999999999999999E-2</v>
      </c>
      <c r="I70" s="146">
        <v>1.6500000000000001E-2</v>
      </c>
      <c r="J70" s="146">
        <v>1.4999999999999999E-2</v>
      </c>
      <c r="K70" s="146">
        <v>1.7000000000000001E-2</v>
      </c>
      <c r="L70" s="146">
        <v>1.4999999999999999E-2</v>
      </c>
      <c r="M70" s="146">
        <v>1.7999999999999999E-2</v>
      </c>
      <c r="N70" s="146">
        <v>1.55E-2</v>
      </c>
      <c r="O70" s="146">
        <v>1.8499999999999999E-2</v>
      </c>
      <c r="P70" s="146">
        <v>1.6E-2</v>
      </c>
    </row>
    <row r="71" spans="1:16" ht="15" customHeight="1">
      <c r="B71" s="149" t="s">
        <v>1091</v>
      </c>
      <c r="C71" s="156" t="s">
        <v>1092</v>
      </c>
      <c r="D71" s="150" t="s">
        <v>1093</v>
      </c>
      <c r="E71" s="156" t="s">
        <v>1094</v>
      </c>
      <c r="F71" s="165">
        <f t="shared" ref="F71:P71" si="6">F70*F60/F63</f>
        <v>931.0888236200077</v>
      </c>
      <c r="G71" s="165">
        <f t="shared" si="6"/>
        <v>783.95149579136034</v>
      </c>
      <c r="H71" s="165">
        <f t="shared" si="6"/>
        <v>250.19987592170361</v>
      </c>
      <c r="I71" s="165">
        <f t="shared" si="6"/>
        <v>130.50589570535956</v>
      </c>
      <c r="J71" s="165">
        <f t="shared" si="6"/>
        <v>104.39954838257188</v>
      </c>
      <c r="K71" s="165">
        <f t="shared" si="6"/>
        <v>133.95957221847553</v>
      </c>
      <c r="L71" s="165">
        <f t="shared" si="6"/>
        <v>369.48413595902394</v>
      </c>
      <c r="M71" s="165">
        <f t="shared" si="6"/>
        <v>18.960111009897663</v>
      </c>
      <c r="N71" s="165">
        <f t="shared" si="6"/>
        <v>35.243528433662647</v>
      </c>
      <c r="O71" s="165">
        <f t="shared" si="6"/>
        <v>740.61384479999958</v>
      </c>
      <c r="P71" s="165">
        <f t="shared" si="6"/>
        <v>269.65491214076678</v>
      </c>
    </row>
    <row r="72" spans="1:16" ht="15" customHeight="1">
      <c r="B72" s="146" t="s">
        <v>1095</v>
      </c>
      <c r="C72" s="147" t="s">
        <v>1096</v>
      </c>
      <c r="D72" s="147" t="s">
        <v>1071</v>
      </c>
      <c r="F72" s="146">
        <v>46</v>
      </c>
      <c r="G72" s="146">
        <v>100</v>
      </c>
      <c r="H72" s="146">
        <v>54</v>
      </c>
      <c r="I72" s="146">
        <v>30</v>
      </c>
      <c r="J72" s="146">
        <v>17</v>
      </c>
      <c r="K72" s="146">
        <v>65</v>
      </c>
      <c r="L72" s="146">
        <v>26</v>
      </c>
      <c r="M72" s="146">
        <v>1</v>
      </c>
      <c r="N72" s="146">
        <v>1</v>
      </c>
      <c r="O72" s="146">
        <v>3</v>
      </c>
      <c r="P72" s="146">
        <v>50</v>
      </c>
    </row>
    <row r="74" spans="1:16" s="159" customFormat="1" ht="15" customHeight="1">
      <c r="A74" s="159">
        <v>2.2000000000000002</v>
      </c>
      <c r="B74" s="170" t="s">
        <v>1097</v>
      </c>
      <c r="C74" s="171" t="s">
        <v>1098</v>
      </c>
      <c r="D74" s="150" t="s">
        <v>1067</v>
      </c>
      <c r="E74" s="162" t="s">
        <v>1099</v>
      </c>
      <c r="I74" s="159">
        <f t="shared" ref="I74:P74" si="7">I75*I60</f>
        <v>11675.400480175042</v>
      </c>
      <c r="J74" s="159">
        <f t="shared" si="7"/>
        <v>3244.7379637303338</v>
      </c>
      <c r="K74" s="159">
        <f t="shared" si="7"/>
        <v>85497.98732090948</v>
      </c>
      <c r="L74" s="159">
        <f t="shared" si="7"/>
        <v>57911.957359331653</v>
      </c>
      <c r="M74" s="159">
        <f t="shared" si="7"/>
        <v>1066.545583960137</v>
      </c>
      <c r="N74" s="159">
        <f t="shared" si="7"/>
        <v>1023.6835268841653</v>
      </c>
      <c r="O74" s="159">
        <f t="shared" si="7"/>
        <v>71919.609307199964</v>
      </c>
      <c r="P74" s="159">
        <f t="shared" si="7"/>
        <v>59605.527694496348</v>
      </c>
    </row>
    <row r="75" spans="1:16" s="172" customFormat="1" ht="28.5" customHeight="1">
      <c r="B75" s="173" t="s">
        <v>1100</v>
      </c>
      <c r="C75" s="174" t="s">
        <v>1101</v>
      </c>
      <c r="D75" s="175"/>
      <c r="E75" s="176" t="s">
        <v>1102</v>
      </c>
      <c r="I75" s="172">
        <f t="shared" ref="I75:P75" si="8">I76+I83+I87+I96+I97+I108</f>
        <v>10.180230153280707</v>
      </c>
      <c r="J75" s="172">
        <f t="shared" si="8"/>
        <v>1.7999999999999998</v>
      </c>
      <c r="K75" s="172">
        <f t="shared" si="8"/>
        <v>74.827814061795863</v>
      </c>
      <c r="L75" s="172">
        <f t="shared" si="8"/>
        <v>11.696815754806803</v>
      </c>
      <c r="M75" s="172">
        <f t="shared" si="8"/>
        <v>4.8914847707900524</v>
      </c>
      <c r="N75" s="172">
        <f t="shared" si="8"/>
        <v>1.4570000000000001</v>
      </c>
      <c r="O75" s="172">
        <f t="shared" si="8"/>
        <v>17.965</v>
      </c>
      <c r="P75" s="172">
        <f t="shared" si="8"/>
        <v>17.085505729743314</v>
      </c>
    </row>
    <row r="76" spans="1:16" s="172" customFormat="1" ht="15" customHeight="1">
      <c r="A76" s="172" t="s">
        <v>1103</v>
      </c>
      <c r="B76" s="172" t="s">
        <v>1104</v>
      </c>
      <c r="C76" s="177" t="s">
        <v>1105</v>
      </c>
      <c r="D76" s="177"/>
      <c r="E76" s="172" t="s">
        <v>1106</v>
      </c>
      <c r="I76" s="172">
        <f>I82*I81</f>
        <v>1.8480000000000001</v>
      </c>
      <c r="J76" s="172">
        <f>J82*J81</f>
        <v>0</v>
      </c>
      <c r="K76" s="172">
        <f>K82*K81</f>
        <v>2.8560000000000003</v>
      </c>
      <c r="L76" s="172">
        <f>L82*L81</f>
        <v>0</v>
      </c>
      <c r="M76" s="172">
        <f>M81*M82</f>
        <v>0.504</v>
      </c>
      <c r="N76" s="172">
        <f>N81*N82</f>
        <v>0.217</v>
      </c>
      <c r="O76" s="172">
        <f>O81*O82</f>
        <v>0.25900000000000001</v>
      </c>
      <c r="P76" s="172">
        <f>P81*P82</f>
        <v>1.1200000000000001</v>
      </c>
    </row>
    <row r="77" spans="1:16" ht="30" customHeight="1">
      <c r="B77" s="146" t="s">
        <v>1107</v>
      </c>
      <c r="I77" s="152" t="s">
        <v>1108</v>
      </c>
      <c r="J77" s="146" t="s">
        <v>1109</v>
      </c>
      <c r="K77" s="152" t="s">
        <v>1110</v>
      </c>
      <c r="M77" s="152" t="s">
        <v>1108</v>
      </c>
      <c r="N77" s="152" t="s">
        <v>1111</v>
      </c>
      <c r="O77" s="152" t="s">
        <v>1112</v>
      </c>
      <c r="P77" s="152" t="s">
        <v>1108</v>
      </c>
    </row>
    <row r="78" spans="1:16" ht="15" customHeight="1">
      <c r="B78" s="146" t="s">
        <v>1113</v>
      </c>
      <c r="C78" s="147" t="s">
        <v>1114</v>
      </c>
      <c r="D78" s="147" t="s">
        <v>1071</v>
      </c>
      <c r="I78" s="146">
        <v>0.30499999999999999</v>
      </c>
      <c r="K78" s="146">
        <v>0.22900000000000001</v>
      </c>
      <c r="M78" s="146">
        <v>0.30499999999999999</v>
      </c>
      <c r="N78" s="146">
        <v>0.45700000000000002</v>
      </c>
      <c r="O78" s="146">
        <v>0.152</v>
      </c>
      <c r="P78" s="146">
        <v>0.30499999999999999</v>
      </c>
    </row>
    <row r="79" spans="1:16" ht="15" customHeight="1">
      <c r="C79" s="147" t="s">
        <v>1115</v>
      </c>
      <c r="I79" s="146">
        <f>I78/I63</f>
        <v>2.103448275862069</v>
      </c>
      <c r="K79" s="146">
        <f>K78/K63</f>
        <v>1.5793103448275865</v>
      </c>
      <c r="M79" s="146">
        <f>M78/M63</f>
        <v>1.4734299516908214</v>
      </c>
      <c r="N79" s="146">
        <f>N78/N63</f>
        <v>1.4789644012944985</v>
      </c>
      <c r="O79" s="146">
        <f>O78/O63</f>
        <v>1.5199999999999998</v>
      </c>
      <c r="P79" s="146">
        <f>P78/P63</f>
        <v>1.4734299516908214</v>
      </c>
    </row>
    <row r="80" spans="1:16" ht="15" customHeight="1">
      <c r="B80" s="146" t="s">
        <v>1116</v>
      </c>
      <c r="C80" s="147" t="s">
        <v>1117</v>
      </c>
      <c r="E80" s="146" t="s">
        <v>1118</v>
      </c>
      <c r="I80" s="146" t="s">
        <v>1119</v>
      </c>
      <c r="K80" s="146" t="s">
        <v>1119</v>
      </c>
      <c r="M80" s="146" t="s">
        <v>1119</v>
      </c>
      <c r="N80" s="146" t="s">
        <v>1119</v>
      </c>
      <c r="O80" s="146" t="s">
        <v>1119</v>
      </c>
      <c r="P80" s="146" t="s">
        <v>1119</v>
      </c>
    </row>
    <row r="81" spans="1:16" ht="15" customHeight="1">
      <c r="E81" s="146" t="s">
        <v>1120</v>
      </c>
      <c r="I81" s="146">
        <f>14*I70</f>
        <v>0.23100000000000001</v>
      </c>
      <c r="K81" s="146">
        <f>14*K70</f>
        <v>0.23800000000000002</v>
      </c>
      <c r="M81" s="146">
        <f>14*M70</f>
        <v>0.252</v>
      </c>
      <c r="N81" s="146">
        <f>14*N70</f>
        <v>0.217</v>
      </c>
      <c r="O81" s="146">
        <f>14*O70</f>
        <v>0.25900000000000001</v>
      </c>
      <c r="P81" s="146">
        <f>14*P70</f>
        <v>0.224</v>
      </c>
    </row>
    <row r="82" spans="1:16" ht="15" customHeight="1">
      <c r="B82" s="146" t="s">
        <v>1121</v>
      </c>
      <c r="C82" s="147" t="s">
        <v>1122</v>
      </c>
      <c r="D82" s="147" t="s">
        <v>1123</v>
      </c>
      <c r="I82" s="146">
        <v>8</v>
      </c>
      <c r="K82" s="146">
        <v>12</v>
      </c>
      <c r="M82" s="146">
        <v>2</v>
      </c>
      <c r="N82" s="146">
        <v>1</v>
      </c>
      <c r="O82" s="146">
        <v>1</v>
      </c>
      <c r="P82" s="146">
        <v>5</v>
      </c>
    </row>
    <row r="83" spans="1:16" s="172" customFormat="1" ht="15" customHeight="1">
      <c r="A83" s="172" t="s">
        <v>1124</v>
      </c>
      <c r="B83" s="172" t="s">
        <v>1125</v>
      </c>
      <c r="C83" s="177" t="s">
        <v>1126</v>
      </c>
      <c r="D83" s="177"/>
      <c r="E83" s="172" t="s">
        <v>1127</v>
      </c>
      <c r="I83" s="172">
        <f>I86*I85</f>
        <v>3.96</v>
      </c>
      <c r="J83" s="172">
        <f>J86*J85</f>
        <v>1.7999999999999998</v>
      </c>
      <c r="K83" s="172">
        <f>K86*K85</f>
        <v>4.08</v>
      </c>
      <c r="L83" s="172">
        <f>L86*L85</f>
        <v>1.7999999999999998</v>
      </c>
      <c r="M83" s="172">
        <f>M85*M86</f>
        <v>1.0799999999999998</v>
      </c>
      <c r="N83" s="172">
        <f>N85*N86</f>
        <v>1.24</v>
      </c>
      <c r="O83" s="172">
        <f>O85*O86</f>
        <v>3.3299999999999996</v>
      </c>
      <c r="P83" s="172">
        <f>P85*P86</f>
        <v>1.92</v>
      </c>
    </row>
    <row r="84" spans="1:16" ht="15" customHeight="1">
      <c r="B84" s="146" t="s">
        <v>1128</v>
      </c>
      <c r="C84" s="147" t="s">
        <v>1129</v>
      </c>
      <c r="E84" s="146" t="s">
        <v>1118</v>
      </c>
      <c r="I84" s="146" t="s">
        <v>1130</v>
      </c>
      <c r="J84" s="146" t="s">
        <v>1131</v>
      </c>
      <c r="K84" s="146" t="s">
        <v>1130</v>
      </c>
      <c r="L84" s="146" t="s">
        <v>1131</v>
      </c>
      <c r="M84" s="146" t="s">
        <v>1130</v>
      </c>
      <c r="N84" s="146" t="s">
        <v>1131</v>
      </c>
      <c r="O84" s="146" t="s">
        <v>1130</v>
      </c>
      <c r="P84" s="146" t="s">
        <v>1131</v>
      </c>
    </row>
    <row r="85" spans="1:16" ht="15" customHeight="1">
      <c r="E85" s="146" t="s">
        <v>1120</v>
      </c>
      <c r="I85" s="164">
        <f>60*I70</f>
        <v>0.99</v>
      </c>
      <c r="J85" s="164">
        <f>20*J70</f>
        <v>0.3</v>
      </c>
      <c r="K85" s="164">
        <f>60*K70</f>
        <v>1.02</v>
      </c>
      <c r="L85" s="164">
        <f>20*L70</f>
        <v>0.3</v>
      </c>
      <c r="M85" s="146">
        <f>60*M70</f>
        <v>1.0799999999999998</v>
      </c>
      <c r="N85" s="146">
        <f>20*N70</f>
        <v>0.31</v>
      </c>
      <c r="O85" s="146">
        <f>60*O70</f>
        <v>1.1099999999999999</v>
      </c>
      <c r="P85" s="146">
        <f>20*P70</f>
        <v>0.32</v>
      </c>
    </row>
    <row r="86" spans="1:16" ht="15" customHeight="1">
      <c r="B86" s="146" t="s">
        <v>1132</v>
      </c>
      <c r="C86" s="147" t="s">
        <v>1133</v>
      </c>
      <c r="D86" s="147" t="s">
        <v>1123</v>
      </c>
      <c r="I86" s="146">
        <v>4</v>
      </c>
      <c r="J86" s="146">
        <v>6</v>
      </c>
      <c r="K86" s="146">
        <v>4</v>
      </c>
      <c r="L86" s="146">
        <v>6</v>
      </c>
      <c r="M86" s="146">
        <v>1</v>
      </c>
      <c r="N86" s="146">
        <v>4</v>
      </c>
      <c r="O86" s="146">
        <v>3</v>
      </c>
      <c r="P86" s="146">
        <v>6</v>
      </c>
    </row>
    <row r="87" spans="1:16" s="172" customFormat="1" ht="15" customHeight="1">
      <c r="A87" s="172" t="s">
        <v>1134</v>
      </c>
      <c r="B87" s="172" t="s">
        <v>1135</v>
      </c>
      <c r="C87" s="177" t="s">
        <v>1136</v>
      </c>
      <c r="D87" s="177"/>
      <c r="E87" s="177" t="s">
        <v>1137</v>
      </c>
      <c r="I87" s="172">
        <f>I88</f>
        <v>1.128230153280706</v>
      </c>
      <c r="K87" s="172">
        <f>K92</f>
        <v>3.5118140617958615</v>
      </c>
      <c r="M87" s="172">
        <f>M88</f>
        <v>3.9484770790052366E-2</v>
      </c>
    </row>
    <row r="88" spans="1:16" ht="26.25" customHeight="1">
      <c r="A88" s="146" t="s">
        <v>1138</v>
      </c>
      <c r="B88" s="152" t="s">
        <v>1139</v>
      </c>
      <c r="C88" s="147" t="s">
        <v>1140</v>
      </c>
      <c r="E88" s="152" t="s">
        <v>1141</v>
      </c>
      <c r="I88" s="146">
        <f>2.6*SIN(I90*3.14/180)*(1-I91^2)/I91^4</f>
        <v>1.128230153280706</v>
      </c>
      <c r="M88" s="146">
        <f>0.8*SIN(M90*3.14/180)*(1-M91^2)/M91^4</f>
        <v>3.9484770790052366E-2</v>
      </c>
    </row>
    <row r="89" spans="1:16" ht="50.25" customHeight="1">
      <c r="B89" s="146" t="s">
        <v>1142</v>
      </c>
      <c r="I89" s="152" t="s">
        <v>1143</v>
      </c>
      <c r="J89" s="146" t="s">
        <v>1109</v>
      </c>
      <c r="K89" s="152"/>
      <c r="M89" s="152" t="s">
        <v>1144</v>
      </c>
      <c r="N89" s="146" t="s">
        <v>1109</v>
      </c>
      <c r="O89" s="146" t="s">
        <v>1109</v>
      </c>
      <c r="P89" s="146" t="s">
        <v>1109</v>
      </c>
    </row>
    <row r="90" spans="1:16" ht="33" customHeight="1">
      <c r="B90" s="146" t="s">
        <v>1145</v>
      </c>
      <c r="C90" s="147" t="s">
        <v>1146</v>
      </c>
      <c r="D90" s="147" t="s">
        <v>1147</v>
      </c>
      <c r="E90" s="152" t="s">
        <v>1148</v>
      </c>
      <c r="I90" s="146">
        <v>8.8800000000000008</v>
      </c>
      <c r="M90" s="152">
        <v>4.47</v>
      </c>
      <c r="O90" s="152"/>
    </row>
    <row r="91" spans="1:16" ht="24" customHeight="1">
      <c r="B91" s="152" t="s">
        <v>1149</v>
      </c>
      <c r="C91" s="147" t="s">
        <v>1150</v>
      </c>
      <c r="I91" s="146">
        <f>100/150</f>
        <v>0.66666666666666663</v>
      </c>
      <c r="M91" s="146">
        <f>125/150</f>
        <v>0.83333333333333337</v>
      </c>
    </row>
    <row r="92" spans="1:16" ht="26.25" customHeight="1">
      <c r="A92" s="146" t="s">
        <v>1151</v>
      </c>
      <c r="B92" s="152" t="s">
        <v>1152</v>
      </c>
      <c r="C92" s="147" t="s">
        <v>1153</v>
      </c>
      <c r="E92" s="152" t="s">
        <v>1154</v>
      </c>
      <c r="K92" s="146">
        <f>2.6*SIN(K94*3.14/180)*(1-K95^2)^2/K95^4</f>
        <v>3.5118140617958615</v>
      </c>
    </row>
    <row r="93" spans="1:16" ht="50.25" customHeight="1">
      <c r="B93" s="146" t="s">
        <v>1142</v>
      </c>
      <c r="K93" s="152" t="s">
        <v>1155</v>
      </c>
      <c r="L93" s="146" t="s">
        <v>1109</v>
      </c>
      <c r="M93" s="146" t="s">
        <v>1109</v>
      </c>
      <c r="N93" s="146" t="s">
        <v>1109</v>
      </c>
      <c r="O93" s="146" t="s">
        <v>1109</v>
      </c>
      <c r="P93" s="146" t="s">
        <v>1109</v>
      </c>
    </row>
    <row r="94" spans="1:16" ht="33" customHeight="1">
      <c r="B94" s="146" t="s">
        <v>1145</v>
      </c>
      <c r="C94" s="147" t="s">
        <v>1146</v>
      </c>
      <c r="E94" s="152" t="s">
        <v>1148</v>
      </c>
      <c r="K94" s="146">
        <v>12.33</v>
      </c>
      <c r="M94" s="152"/>
      <c r="O94" s="152"/>
    </row>
    <row r="95" spans="1:16" ht="24" customHeight="1">
      <c r="B95" s="152" t="s">
        <v>1149</v>
      </c>
      <c r="C95" s="147" t="s">
        <v>1150</v>
      </c>
      <c r="K95" s="146">
        <f>80/150</f>
        <v>0.53333333333333333</v>
      </c>
    </row>
    <row r="96" spans="1:16" s="172" customFormat="1" ht="26.25" customHeight="1">
      <c r="A96" s="172" t="s">
        <v>1156</v>
      </c>
      <c r="B96" s="178" t="s">
        <v>1157</v>
      </c>
      <c r="C96" s="177" t="s">
        <v>0</v>
      </c>
      <c r="D96" s="177"/>
      <c r="E96" s="178"/>
      <c r="I96" s="172">
        <v>0.78</v>
      </c>
      <c r="M96" s="172">
        <v>0.78</v>
      </c>
      <c r="O96" s="172">
        <v>0.78</v>
      </c>
    </row>
    <row r="97" spans="1:16" s="172" customFormat="1" ht="15" customHeight="1">
      <c r="A97" s="172" t="s">
        <v>1</v>
      </c>
      <c r="B97" s="172" t="s">
        <v>2</v>
      </c>
      <c r="C97" s="177" t="s">
        <v>3</v>
      </c>
      <c r="D97" s="177"/>
      <c r="E97" s="172" t="s">
        <v>4</v>
      </c>
      <c r="I97" s="172">
        <f>I98+I99+I103+I107</f>
        <v>2.4640000000000004</v>
      </c>
      <c r="J97" s="172">
        <f>J98+J99+J103+J107</f>
        <v>0</v>
      </c>
      <c r="K97" s="172">
        <f>K98+K99+K103+K107</f>
        <v>64.38</v>
      </c>
      <c r="L97" s="172">
        <f>L98+L99+L103+L107</f>
        <v>0</v>
      </c>
      <c r="M97" s="172">
        <f>M98+M99+M103+M107</f>
        <v>2.488</v>
      </c>
      <c r="N97" s="172">
        <f>N98+N99+N103</f>
        <v>0</v>
      </c>
      <c r="O97" s="172">
        <f>O98+O99+O103</f>
        <v>13.596</v>
      </c>
      <c r="P97" s="172">
        <f>P98+P99+P103</f>
        <v>0</v>
      </c>
    </row>
    <row r="98" spans="1:16" ht="15" customHeight="1">
      <c r="A98" s="146" t="s">
        <v>5</v>
      </c>
      <c r="B98" s="146" t="s">
        <v>6</v>
      </c>
      <c r="C98" s="147" t="s">
        <v>7</v>
      </c>
      <c r="I98" s="146">
        <v>2.2000000000000002</v>
      </c>
      <c r="M98" s="146">
        <v>2.2000000000000002</v>
      </c>
      <c r="O98" s="146">
        <v>2.2000000000000002</v>
      </c>
    </row>
    <row r="99" spans="1:16" ht="15" customHeight="1">
      <c r="A99" s="146" t="s">
        <v>8</v>
      </c>
      <c r="B99" s="146" t="s">
        <v>9</v>
      </c>
      <c r="C99" s="147" t="s">
        <v>1023</v>
      </c>
      <c r="E99" s="147" t="s">
        <v>10</v>
      </c>
      <c r="I99" s="146">
        <f>I101*I102</f>
        <v>0.26400000000000001</v>
      </c>
      <c r="K99" s="146">
        <f>K101*K102</f>
        <v>0.68</v>
      </c>
      <c r="M99" s="146">
        <f>M101*M102</f>
        <v>0.28799999999999998</v>
      </c>
      <c r="O99" s="146">
        <f>O101*O102</f>
        <v>0.29599999999999999</v>
      </c>
    </row>
    <row r="100" spans="1:16" ht="15" customHeight="1">
      <c r="B100" s="146" t="s">
        <v>11</v>
      </c>
      <c r="C100" s="147" t="s">
        <v>12</v>
      </c>
      <c r="E100" s="146" t="s">
        <v>1118</v>
      </c>
      <c r="I100" s="146" t="s">
        <v>13</v>
      </c>
      <c r="K100" s="146" t="s">
        <v>13</v>
      </c>
      <c r="M100" s="146" t="s">
        <v>13</v>
      </c>
      <c r="O100" s="146" t="s">
        <v>13</v>
      </c>
    </row>
    <row r="101" spans="1:16" ht="15" customHeight="1">
      <c r="B101" s="179"/>
      <c r="E101" s="146" t="s">
        <v>1120</v>
      </c>
      <c r="I101" s="146">
        <f>8*I70</f>
        <v>0.13200000000000001</v>
      </c>
      <c r="K101" s="146">
        <f>8*K70</f>
        <v>0.13600000000000001</v>
      </c>
      <c r="M101" s="146">
        <f>8*M70</f>
        <v>0.14399999999999999</v>
      </c>
      <c r="O101" s="146">
        <f>8*O70</f>
        <v>0.14799999999999999</v>
      </c>
    </row>
    <row r="102" spans="1:16" ht="15" customHeight="1">
      <c r="B102" s="146" t="s">
        <v>14</v>
      </c>
      <c r="C102" s="147" t="s">
        <v>15</v>
      </c>
      <c r="I102" s="146">
        <v>2</v>
      </c>
      <c r="K102" s="146">
        <v>5</v>
      </c>
      <c r="M102" s="146">
        <v>2</v>
      </c>
      <c r="O102" s="146">
        <v>2</v>
      </c>
    </row>
    <row r="103" spans="1:16" ht="15" customHeight="1">
      <c r="A103" s="146" t="s">
        <v>16</v>
      </c>
      <c r="B103" s="146" t="s">
        <v>17</v>
      </c>
      <c r="C103" s="147" t="s">
        <v>18</v>
      </c>
      <c r="E103" s="147" t="s">
        <v>19</v>
      </c>
      <c r="K103" s="146">
        <f>K105*K106</f>
        <v>10.200000000000001</v>
      </c>
      <c r="O103" s="146">
        <f>O105*O106</f>
        <v>11.1</v>
      </c>
    </row>
    <row r="104" spans="1:16" ht="15" customHeight="1">
      <c r="B104" s="146" t="s">
        <v>20</v>
      </c>
      <c r="C104" s="147" t="s">
        <v>21</v>
      </c>
      <c r="E104" s="146" t="s">
        <v>1118</v>
      </c>
      <c r="K104" s="146" t="s">
        <v>22</v>
      </c>
      <c r="M104" s="146" t="s">
        <v>1109</v>
      </c>
      <c r="O104" s="146" t="s">
        <v>22</v>
      </c>
    </row>
    <row r="105" spans="1:16" ht="15" customHeight="1">
      <c r="E105" s="146" t="s">
        <v>1120</v>
      </c>
      <c r="K105" s="146">
        <f>600*K70</f>
        <v>10.200000000000001</v>
      </c>
      <c r="O105" s="146">
        <f>600*O70</f>
        <v>11.1</v>
      </c>
    </row>
    <row r="106" spans="1:16" ht="15" customHeight="1">
      <c r="B106" s="146" t="s">
        <v>23</v>
      </c>
      <c r="C106" s="147" t="s">
        <v>24</v>
      </c>
      <c r="K106" s="146">
        <v>1</v>
      </c>
      <c r="O106" s="146">
        <v>1</v>
      </c>
    </row>
    <row r="107" spans="1:16" ht="15" customHeight="1">
      <c r="A107" s="146" t="s">
        <v>25</v>
      </c>
      <c r="B107" s="146" t="s">
        <v>26</v>
      </c>
      <c r="C107" s="147" t="s">
        <v>27</v>
      </c>
      <c r="K107" s="146">
        <v>53.5</v>
      </c>
    </row>
    <row r="108" spans="1:16" s="172" customFormat="1" ht="15" customHeight="1">
      <c r="A108" s="172" t="s">
        <v>28</v>
      </c>
      <c r="B108" s="172" t="s">
        <v>29</v>
      </c>
      <c r="C108" s="177" t="s">
        <v>30</v>
      </c>
      <c r="D108" s="177"/>
      <c r="E108" s="172" t="s">
        <v>31</v>
      </c>
      <c r="L108" s="172">
        <f>L109/L60</f>
        <v>9.8968157548068039</v>
      </c>
      <c r="P108" s="172">
        <f>P109/P60</f>
        <v>14.045505729743315</v>
      </c>
    </row>
    <row r="109" spans="1:16" ht="15" customHeight="1">
      <c r="B109" s="146" t="s">
        <v>32</v>
      </c>
      <c r="C109" s="147" t="s">
        <v>33</v>
      </c>
      <c r="D109" s="147" t="s">
        <v>1067</v>
      </c>
      <c r="E109" s="146" t="s">
        <v>34</v>
      </c>
      <c r="L109" s="146">
        <v>49000</v>
      </c>
      <c r="P109" s="146">
        <v>49000</v>
      </c>
    </row>
  </sheetData>
  <mergeCells count="16">
    <mergeCell ref="O2:P2"/>
    <mergeCell ref="F2:G2"/>
    <mergeCell ref="I2:J2"/>
    <mergeCell ref="K2:L2"/>
    <mergeCell ref="M2:N2"/>
    <mergeCell ref="F5:G5"/>
    <mergeCell ref="B5:B6"/>
    <mergeCell ref="C5:C6"/>
    <mergeCell ref="D5:D6"/>
    <mergeCell ref="E5:E6"/>
    <mergeCell ref="F9:G9"/>
    <mergeCell ref="B7:B8"/>
    <mergeCell ref="C7:C8"/>
    <mergeCell ref="D7:D8"/>
    <mergeCell ref="E7:E8"/>
    <mergeCell ref="F7:G7"/>
  </mergeCells>
  <phoneticPr fontId="3" type="noConversion"/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需求调查表</vt:lpstr>
      <vt:lpstr>原则性热力系统锅炉部分--无高加</vt:lpstr>
      <vt:lpstr>原则性热力系统汽轮机部分--无高加</vt:lpstr>
      <vt:lpstr>锅炉辅机系统</vt:lpstr>
      <vt:lpstr>烟、风量计算</vt:lpstr>
      <vt:lpstr>烟风系统</vt:lpstr>
      <vt:lpstr>烟阻力</vt:lpstr>
      <vt:lpstr>风阻力</vt:lpstr>
      <vt:lpstr>汽水管道</vt:lpstr>
      <vt:lpstr>循环水系统</vt:lpstr>
      <vt:lpstr>汽机辅机系统</vt:lpstr>
      <vt:lpstr>气体平均定压体积比热容</vt:lpstr>
      <vt:lpstr>烟焓表</vt:lpstr>
      <vt:lpstr>总概算</vt:lpstr>
    </vt:vector>
  </TitlesOfParts>
  <Company>sjyb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zqz</dc:creator>
  <cp:lastModifiedBy>Windows 用户</cp:lastModifiedBy>
  <dcterms:created xsi:type="dcterms:W3CDTF">2007-11-06T02:23:10Z</dcterms:created>
  <dcterms:modified xsi:type="dcterms:W3CDTF">2017-10-20T02:40:33Z</dcterms:modified>
</cp:coreProperties>
</file>