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240" yWindow="255" windowWidth="14805" windowHeight="6945" tabRatio="631" firstSheet="1" activeTab="8"/>
  </bookViews>
  <sheets>
    <sheet name="需求调研表" sheetId="15" r:id="rId1"/>
    <sheet name="锅炉计算" sheetId="1" r:id="rId2"/>
    <sheet name="燃料存储及输送系统" sheetId="2" r:id="rId3"/>
    <sheet name="汽轮机计算" sheetId="10" r:id="rId4"/>
    <sheet name="脱硫脱硝系统" sheetId="5" r:id="rId5"/>
    <sheet name="除尘除灰除渣系统" sheetId="3" r:id="rId6"/>
    <sheet name="烟囱" sheetId="12" r:id="rId7"/>
    <sheet name="锅炉辅机" sheetId="8" r:id="rId8"/>
    <sheet name="公用工程" sheetId="13" r:id="rId9"/>
    <sheet name="Sheet3" sheetId="14" r:id="rId10"/>
  </sheets>
  <externalReferences>
    <externalReference r:id="rId11"/>
  </externalReferences>
  <definedNames>
    <definedName name="_xlnm.Print_Area" localSheetId="6">烟囱!$B$1:$V$23</definedName>
  </definedNames>
  <calcPr calcId="124519"/>
</workbook>
</file>

<file path=xl/calcChain.xml><?xml version="1.0" encoding="utf-8"?>
<calcChain xmlns="http://schemas.openxmlformats.org/spreadsheetml/2006/main">
  <c r="F21" i="13"/>
  <c r="I16" i="8"/>
  <c r="G53"/>
  <c r="G41"/>
  <c r="G30" i="3"/>
  <c r="G51" i="2"/>
  <c r="G50"/>
  <c r="G147" i="1"/>
  <c r="G127"/>
  <c r="G100"/>
  <c r="G91"/>
  <c r="H85"/>
  <c r="G23"/>
  <c r="R7" i="8" s="1"/>
  <c r="G75"/>
  <c r="G59"/>
  <c r="G40"/>
  <c r="G24"/>
  <c r="I17"/>
  <c r="H17"/>
  <c r="G17"/>
  <c r="I8"/>
  <c r="H8"/>
  <c r="G8"/>
  <c r="R20"/>
  <c r="R17"/>
  <c r="R19" s="1"/>
  <c r="R3"/>
  <c r="R6" s="1"/>
  <c r="R11"/>
  <c r="R10"/>
  <c r="R24"/>
  <c r="R23"/>
  <c r="G45" i="1"/>
  <c r="H45"/>
  <c r="H26"/>
  <c r="G26"/>
  <c r="G24"/>
  <c r="H24"/>
  <c r="G22"/>
  <c r="H22"/>
  <c r="R25" i="8" l="1"/>
  <c r="G3" l="1"/>
  <c r="G42" i="5"/>
  <c r="F22" i="13"/>
  <c r="F24"/>
  <c r="F23"/>
  <c r="G35" i="12"/>
  <c r="G36"/>
  <c r="G54" i="5"/>
  <c r="H34" i="1"/>
  <c r="G6" i="5"/>
  <c r="G57" i="2"/>
  <c r="G36" i="1"/>
  <c r="H14"/>
  <c r="Q3" s="1"/>
  <c r="F26" i="13" l="1"/>
  <c r="F27" s="1"/>
  <c r="G14" i="1"/>
  <c r="P3" s="1"/>
  <c r="G17"/>
  <c r="G16"/>
  <c r="F28" i="13" l="1"/>
  <c r="F29" s="1"/>
  <c r="F30" s="1"/>
  <c r="G11" i="10"/>
  <c r="I11" s="1"/>
  <c r="G10"/>
  <c r="I13"/>
  <c r="H13" l="1"/>
  <c r="F8"/>
  <c r="H122" i="1" l="1"/>
  <c r="H127"/>
  <c r="H137"/>
  <c r="H147"/>
  <c r="H91"/>
  <c r="H92"/>
  <c r="H100"/>
  <c r="H104"/>
  <c r="H105"/>
  <c r="H112"/>
  <c r="H60"/>
  <c r="H62" s="1"/>
  <c r="H64" s="1"/>
  <c r="H66" s="1"/>
  <c r="H68" s="1"/>
  <c r="H126" s="1"/>
  <c r="H52"/>
  <c r="H40"/>
  <c r="H162" s="1"/>
  <c r="H23"/>
  <c r="H36"/>
  <c r="H51" l="1"/>
  <c r="H161" s="1"/>
  <c r="H128"/>
  <c r="H130" s="1"/>
  <c r="H139" s="1"/>
  <c r="H70"/>
  <c r="H72" s="1"/>
  <c r="H46"/>
  <c r="H47" s="1"/>
  <c r="I35" i="10"/>
  <c r="F47"/>
  <c r="H74" i="1" l="1"/>
  <c r="H138"/>
  <c r="H55"/>
  <c r="H53"/>
  <c r="H54" s="1"/>
  <c r="H75" s="1"/>
  <c r="H117" s="1"/>
  <c r="H132"/>
  <c r="H76"/>
  <c r="H118" s="1"/>
  <c r="H49"/>
  <c r="H84" s="1"/>
  <c r="H86" s="1"/>
  <c r="H48"/>
  <c r="H95" s="1"/>
  <c r="R21" i="8" l="1"/>
  <c r="R28" s="1"/>
  <c r="R29" s="1"/>
  <c r="R8"/>
  <c r="R13" s="1"/>
  <c r="H30" i="1"/>
  <c r="H31" s="1"/>
  <c r="H141"/>
  <c r="H148"/>
  <c r="H149" s="1"/>
  <c r="H164"/>
  <c r="H165" s="1"/>
  <c r="H56"/>
  <c r="H98"/>
  <c r="H108"/>
  <c r="H131"/>
  <c r="H3" i="2" l="1"/>
  <c r="H73" s="1"/>
  <c r="H74" s="1"/>
  <c r="H160" i="1"/>
  <c r="H167" s="1"/>
  <c r="H151"/>
  <c r="H33"/>
  <c r="H140"/>
  <c r="G80" i="8"/>
  <c r="G37"/>
  <c r="G21"/>
  <c r="H30" i="2" l="1"/>
  <c r="H36" s="1"/>
  <c r="H49"/>
  <c r="H50" s="1"/>
  <c r="H61"/>
  <c r="H64" s="1"/>
  <c r="H65" s="1"/>
  <c r="H39"/>
  <c r="H42" s="1"/>
  <c r="H43" s="1"/>
  <c r="H70"/>
  <c r="H38" i="1"/>
  <c r="H37"/>
  <c r="H7" i="2"/>
  <c r="H9" s="1"/>
  <c r="H11" s="1"/>
  <c r="H5"/>
  <c r="H15" s="1"/>
  <c r="H19" s="1"/>
  <c r="H119" i="1"/>
  <c r="H142" s="1"/>
  <c r="H144" s="1"/>
  <c r="H87"/>
  <c r="H88" s="1"/>
  <c r="H150"/>
  <c r="G7" i="12"/>
  <c r="G15" s="1"/>
  <c r="F7"/>
  <c r="F21" s="1"/>
  <c r="S31"/>
  <c r="S30"/>
  <c r="S29"/>
  <c r="S28"/>
  <c r="S27"/>
  <c r="S26"/>
  <c r="S25"/>
  <c r="E25"/>
  <c r="E26" s="1"/>
  <c r="E27" s="1"/>
  <c r="E28" s="1"/>
  <c r="T24"/>
  <c r="S24"/>
  <c r="S23"/>
  <c r="S22"/>
  <c r="S21"/>
  <c r="S20"/>
  <c r="S19"/>
  <c r="S18"/>
  <c r="S17"/>
  <c r="E17"/>
  <c r="E18" s="1"/>
  <c r="E19" s="1"/>
  <c r="E20" s="1"/>
  <c r="E21" s="1"/>
  <c r="E22" s="1"/>
  <c r="E23" s="1"/>
  <c r="T23" s="1"/>
  <c r="S16"/>
  <c r="T16" s="1"/>
  <c r="S15"/>
  <c r="S14"/>
  <c r="E14"/>
  <c r="S13"/>
  <c r="E13"/>
  <c r="S12"/>
  <c r="E12"/>
  <c r="S11"/>
  <c r="E11"/>
  <c r="S10"/>
  <c r="E10"/>
  <c r="S9"/>
  <c r="E9"/>
  <c r="C9"/>
  <c r="C10" s="1"/>
  <c r="B8"/>
  <c r="B9" s="1"/>
  <c r="B10" s="1"/>
  <c r="B11" s="1"/>
  <c r="B12" s="1"/>
  <c r="B13" s="1"/>
  <c r="B14" s="1"/>
  <c r="B15" s="1"/>
  <c r="B16" s="1"/>
  <c r="B17" s="1"/>
  <c r="B18" s="1"/>
  <c r="B19" s="1"/>
  <c r="B20" s="1"/>
  <c r="B21" s="1"/>
  <c r="B22" s="1"/>
  <c r="B23" s="1"/>
  <c r="B24" s="1"/>
  <c r="B25" s="1"/>
  <c r="B26" s="1"/>
  <c r="B27" s="1"/>
  <c r="B28" s="1"/>
  <c r="B29" s="1"/>
  <c r="B30" s="1"/>
  <c r="B31" s="1"/>
  <c r="H51" i="2" l="1"/>
  <c r="H33"/>
  <c r="H34" s="1"/>
  <c r="H154" i="1"/>
  <c r="H134"/>
  <c r="H143"/>
  <c r="H145" s="1"/>
  <c r="H163"/>
  <c r="H166" s="1"/>
  <c r="H168" s="1"/>
  <c r="H133"/>
  <c r="H135" s="1"/>
  <c r="H120"/>
  <c r="H123" s="1"/>
  <c r="H121"/>
  <c r="H93"/>
  <c r="H106"/>
  <c r="H152"/>
  <c r="D8" i="12"/>
  <c r="D9" s="1"/>
  <c r="D10" s="1"/>
  <c r="D11" s="1"/>
  <c r="D12" s="1"/>
  <c r="D13" s="1"/>
  <c r="D14" s="1"/>
  <c r="D15" s="1"/>
  <c r="D16" s="1"/>
  <c r="D17" s="1"/>
  <c r="D18" s="1"/>
  <c r="T25"/>
  <c r="T17"/>
  <c r="T19"/>
  <c r="G11"/>
  <c r="E29"/>
  <c r="E30" s="1"/>
  <c r="E31" s="1"/>
  <c r="T28"/>
  <c r="T9"/>
  <c r="C11"/>
  <c r="C12" s="1"/>
  <c r="G8"/>
  <c r="T8"/>
  <c r="G9"/>
  <c r="F10"/>
  <c r="G13"/>
  <c r="F14"/>
  <c r="G20"/>
  <c r="F26"/>
  <c r="T26"/>
  <c r="F30"/>
  <c r="T30"/>
  <c r="G10"/>
  <c r="F11"/>
  <c r="G14"/>
  <c r="G16"/>
  <c r="F17"/>
  <c r="T21"/>
  <c r="F31"/>
  <c r="F27"/>
  <c r="F22"/>
  <c r="F18"/>
  <c r="F29"/>
  <c r="F25"/>
  <c r="F20"/>
  <c r="F16"/>
  <c r="F15"/>
  <c r="F28"/>
  <c r="F24"/>
  <c r="F23"/>
  <c r="F19"/>
  <c r="F12"/>
  <c r="T27"/>
  <c r="T29"/>
  <c r="T31"/>
  <c r="G30"/>
  <c r="G26"/>
  <c r="G21"/>
  <c r="G17"/>
  <c r="G28"/>
  <c r="G24"/>
  <c r="G23"/>
  <c r="G19"/>
  <c r="G31"/>
  <c r="G27"/>
  <c r="G22"/>
  <c r="G18"/>
  <c r="F8"/>
  <c r="F9"/>
  <c r="G12"/>
  <c r="F13"/>
  <c r="T18"/>
  <c r="T20"/>
  <c r="T22"/>
  <c r="G25"/>
  <c r="G29"/>
  <c r="D19" l="1"/>
  <c r="D20" s="1"/>
  <c r="D21" s="1"/>
  <c r="D22" s="1"/>
  <c r="D23" s="1"/>
  <c r="D24" s="1"/>
  <c r="D25" s="1"/>
  <c r="D26" s="1"/>
  <c r="D27" s="1"/>
  <c r="D28" s="1"/>
  <c r="D29" s="1"/>
  <c r="D30" s="1"/>
  <c r="D31" s="1"/>
  <c r="H158" i="1"/>
  <c r="T10" i="12"/>
  <c r="H153" i="1"/>
  <c r="H101"/>
  <c r="H96"/>
  <c r="H94"/>
  <c r="H155"/>
  <c r="H156" s="1"/>
  <c r="H124"/>
  <c r="H109"/>
  <c r="H107"/>
  <c r="H113"/>
  <c r="T11" i="12"/>
  <c r="C13"/>
  <c r="T12"/>
  <c r="F62" i="10"/>
  <c r="J34"/>
  <c r="F16"/>
  <c r="F72"/>
  <c r="F68"/>
  <c r="F46"/>
  <c r="F45"/>
  <c r="F44"/>
  <c r="F43"/>
  <c r="AB37"/>
  <c r="Y37"/>
  <c r="V37"/>
  <c r="AB36"/>
  <c r="Y36"/>
  <c r="V36"/>
  <c r="AB35"/>
  <c r="Y35"/>
  <c r="V35"/>
  <c r="AB34"/>
  <c r="Y34"/>
  <c r="V34"/>
  <c r="F34"/>
  <c r="AB33"/>
  <c r="Y33"/>
  <c r="V33"/>
  <c r="B33"/>
  <c r="E33" s="1"/>
  <c r="AB32"/>
  <c r="Y32"/>
  <c r="V32"/>
  <c r="E32"/>
  <c r="AB31"/>
  <c r="Y31"/>
  <c r="V31"/>
  <c r="AB30"/>
  <c r="Y30"/>
  <c r="V30"/>
  <c r="F17"/>
  <c r="F91"/>
  <c r="F32"/>
  <c r="F33"/>
  <c r="X29"/>
  <c r="G32"/>
  <c r="C38"/>
  <c r="F49"/>
  <c r="B38"/>
  <c r="C32"/>
  <c r="F48"/>
  <c r="H34"/>
  <c r="C35"/>
  <c r="F90"/>
  <c r="F9"/>
  <c r="G33"/>
  <c r="F51" l="1"/>
  <c r="H110" i="1"/>
  <c r="H157"/>
  <c r="H102"/>
  <c r="H97"/>
  <c r="H114"/>
  <c r="B36" i="10"/>
  <c r="C14" i="12"/>
  <c r="T13"/>
  <c r="F19" i="10"/>
  <c r="I32"/>
  <c r="F50" s="1"/>
  <c r="I33"/>
  <c r="F56" s="1"/>
  <c r="F12"/>
  <c r="C36"/>
  <c r="C37" s="1"/>
  <c r="C33"/>
  <c r="F70"/>
  <c r="F57" s="1"/>
  <c r="F63" s="1"/>
  <c r="F11"/>
  <c r="F53"/>
  <c r="F64"/>
  <c r="F65"/>
  <c r="J35"/>
  <c r="J32"/>
  <c r="J33"/>
  <c r="F59"/>
  <c r="F52"/>
  <c r="F21"/>
  <c r="F58"/>
  <c r="F13"/>
  <c r="F14"/>
  <c r="G12" l="1"/>
  <c r="K32"/>
  <c r="K33" s="1"/>
  <c r="K35" s="1"/>
  <c r="C15" i="12"/>
  <c r="T14"/>
  <c r="F18" i="10"/>
  <c r="F22" s="1"/>
  <c r="F23" s="1"/>
  <c r="F69"/>
  <c r="F81"/>
  <c r="F75"/>
  <c r="F87" s="1"/>
  <c r="F55"/>
  <c r="E36"/>
  <c r="B37"/>
  <c r="E37" s="1"/>
  <c r="G13"/>
  <c r="G36"/>
  <c r="F37"/>
  <c r="F88"/>
  <c r="G37"/>
  <c r="F36"/>
  <c r="H10" l="1"/>
  <c r="I8" s="1"/>
  <c r="T15" i="12"/>
  <c r="C16"/>
  <c r="I36" i="10"/>
  <c r="I37"/>
  <c r="F54"/>
  <c r="F60"/>
  <c r="F71"/>
  <c r="J37"/>
  <c r="J36"/>
  <c r="K36" l="1"/>
  <c r="K37" s="1"/>
  <c r="C17" i="12"/>
  <c r="F74" i="10"/>
  <c r="F80"/>
  <c r="F67"/>
  <c r="F61"/>
  <c r="F82"/>
  <c r="F83"/>
  <c r="F77"/>
  <c r="F76"/>
  <c r="F89" l="1"/>
  <c r="F92" s="1"/>
  <c r="C18" i="12"/>
  <c r="F66" i="10"/>
  <c r="F78"/>
  <c r="C19" i="12" l="1"/>
  <c r="F79" i="10"/>
  <c r="F73"/>
  <c r="F85"/>
  <c r="F84"/>
  <c r="F93" s="1"/>
  <c r="C20" i="12" l="1"/>
  <c r="F94" i="10"/>
  <c r="F95" s="1"/>
  <c r="F96" s="1"/>
  <c r="C21" i="12" l="1"/>
  <c r="F105" i="10"/>
  <c r="F100"/>
  <c r="C22" i="12" l="1"/>
  <c r="F106" i="10"/>
  <c r="F108" s="1"/>
  <c r="C23" i="12" l="1"/>
  <c r="F111" i="10"/>
  <c r="F110"/>
  <c r="F109"/>
  <c r="C24" i="12" l="1"/>
  <c r="C25" l="1"/>
  <c r="C26" l="1"/>
  <c r="G4" i="3"/>
  <c r="C27" i="12" l="1"/>
  <c r="C28" l="1"/>
  <c r="G137" i="1"/>
  <c r="G122"/>
  <c r="G112"/>
  <c r="G105"/>
  <c r="G104"/>
  <c r="G92"/>
  <c r="G85"/>
  <c r="G60"/>
  <c r="G62" s="1"/>
  <c r="G64" s="1"/>
  <c r="G66" s="1"/>
  <c r="G68" s="1"/>
  <c r="G126" s="1"/>
  <c r="G128" s="1"/>
  <c r="G52"/>
  <c r="G130" l="1"/>
  <c r="G139" s="1"/>
  <c r="C29" i="12"/>
  <c r="G70" i="1"/>
  <c r="G72" s="1"/>
  <c r="G138" s="1"/>
  <c r="G74" l="1"/>
  <c r="G164" s="1"/>
  <c r="C30" i="12"/>
  <c r="G46" i="1"/>
  <c r="G47" s="1"/>
  <c r="G48" l="1"/>
  <c r="G148"/>
  <c r="G149" s="1"/>
  <c r="C31" i="12"/>
  <c r="H7" l="1"/>
  <c r="H28" s="1"/>
  <c r="I28" s="1"/>
  <c r="G95" i="1"/>
  <c r="G108" s="1"/>
  <c r="G37" i="12"/>
  <c r="G27" i="8"/>
  <c r="H22" i="12" l="1"/>
  <c r="I22" s="1"/>
  <c r="H19"/>
  <c r="I19" s="1"/>
  <c r="H29"/>
  <c r="I29" s="1"/>
  <c r="H14"/>
  <c r="I14" s="1"/>
  <c r="H15"/>
  <c r="I15" s="1"/>
  <c r="H8"/>
  <c r="I8" s="1"/>
  <c r="H20"/>
  <c r="I20" s="1"/>
  <c r="H31"/>
  <c r="I31" s="1"/>
  <c r="H25"/>
  <c r="I25" s="1"/>
  <c r="H30"/>
  <c r="I30" s="1"/>
  <c r="H11"/>
  <c r="I11" s="1"/>
  <c r="H21"/>
  <c r="I21" s="1"/>
  <c r="G38"/>
  <c r="G39" s="1"/>
  <c r="K7" s="1"/>
  <c r="H9"/>
  <c r="I9" s="1"/>
  <c r="H17"/>
  <c r="I17" s="1"/>
  <c r="H10"/>
  <c r="I10" s="1"/>
  <c r="H26"/>
  <c r="I26" s="1"/>
  <c r="H27"/>
  <c r="I27" s="1"/>
  <c r="H13"/>
  <c r="I13" s="1"/>
  <c r="I7"/>
  <c r="H16"/>
  <c r="I16" s="1"/>
  <c r="H12"/>
  <c r="I12" s="1"/>
  <c r="H18"/>
  <c r="I18" s="1"/>
  <c r="H24"/>
  <c r="I24" s="1"/>
  <c r="H23"/>
  <c r="I23" s="1"/>
  <c r="G98" i="1"/>
  <c r="G78" i="8"/>
  <c r="G43"/>
  <c r="G28"/>
  <c r="H17" i="1"/>
  <c r="H11"/>
  <c r="H13" s="1"/>
  <c r="H16"/>
  <c r="K19" i="12" l="1"/>
  <c r="K26"/>
  <c r="K15"/>
  <c r="K20"/>
  <c r="K8"/>
  <c r="K13"/>
  <c r="K21"/>
  <c r="K11"/>
  <c r="K18"/>
  <c r="K28"/>
  <c r="K22"/>
  <c r="K17"/>
  <c r="K16"/>
  <c r="K31"/>
  <c r="K23"/>
  <c r="K30"/>
  <c r="K25"/>
  <c r="K14"/>
  <c r="K29"/>
  <c r="K10"/>
  <c r="K9"/>
  <c r="K12"/>
  <c r="K24"/>
  <c r="K27"/>
  <c r="G79" i="8"/>
  <c r="G83" s="1"/>
  <c r="G85" s="1"/>
  <c r="G62"/>
  <c r="F98" i="10"/>
  <c r="G30" i="1"/>
  <c r="G9" i="13" l="1"/>
  <c r="G3" i="2"/>
  <c r="G5" s="1"/>
  <c r="G63" i="8"/>
  <c r="F101" i="10"/>
  <c r="F102" s="1"/>
  <c r="F99"/>
  <c r="F103" s="1"/>
  <c r="G33" i="1"/>
  <c r="G31"/>
  <c r="G7" i="5" s="1"/>
  <c r="G30" i="2" l="1"/>
  <c r="G36" s="1"/>
  <c r="G7"/>
  <c r="G9" s="1"/>
  <c r="G11" s="1"/>
  <c r="G67"/>
  <c r="H67"/>
  <c r="G61"/>
  <c r="G64" s="1"/>
  <c r="G65" s="1"/>
  <c r="G73"/>
  <c r="G74" s="1"/>
  <c r="G49"/>
  <c r="G70"/>
  <c r="G39"/>
  <c r="G42" s="1"/>
  <c r="G43" s="1"/>
  <c r="G15"/>
  <c r="G19" s="1"/>
  <c r="H23"/>
  <c r="H27" s="1"/>
  <c r="G23"/>
  <c r="G27" s="1"/>
  <c r="G9" i="5"/>
  <c r="G119" i="1"/>
  <c r="G163" s="1"/>
  <c r="G87"/>
  <c r="G33" i="2" l="1"/>
  <c r="G34" s="1"/>
  <c r="G15" i="5"/>
  <c r="G19"/>
  <c r="G20" s="1"/>
  <c r="G22" s="1"/>
  <c r="G23" s="1"/>
  <c r="G24" l="1"/>
  <c r="G25" s="1"/>
  <c r="G26" s="1"/>
  <c r="G28"/>
  <c r="G29" l="1"/>
  <c r="G34" i="1" s="1"/>
  <c r="G31" i="5"/>
  <c r="G44" i="8"/>
  <c r="G34" i="5" l="1"/>
  <c r="G35" s="1"/>
  <c r="G37" i="1"/>
  <c r="G3" i="3"/>
  <c r="G5" s="1"/>
  <c r="G38" i="1"/>
  <c r="G29" i="3" s="1"/>
  <c r="G38" l="1"/>
  <c r="G40" s="1"/>
  <c r="G13"/>
  <c r="G12"/>
  <c r="G31" l="1"/>
  <c r="G33"/>
  <c r="G34" s="1"/>
  <c r="G18"/>
  <c r="G27" s="1"/>
  <c r="G22"/>
  <c r="G24" s="1"/>
  <c r="G11" i="1"/>
  <c r="G13" s="1"/>
  <c r="G40"/>
  <c r="G162" l="1"/>
  <c r="G76"/>
  <c r="G118" s="1"/>
  <c r="G121" s="1"/>
  <c r="G132"/>
  <c r="G134" s="1"/>
  <c r="G151"/>
  <c r="G154" s="1"/>
  <c r="G49"/>
  <c r="G160"/>
  <c r="G55"/>
  <c r="G51"/>
  <c r="G161" s="1"/>
  <c r="G165" s="1"/>
  <c r="G53"/>
  <c r="G141"/>
  <c r="G143" s="1"/>
  <c r="G167" l="1"/>
  <c r="G84"/>
  <c r="G86" s="1"/>
  <c r="G88" s="1"/>
  <c r="G166"/>
  <c r="G54"/>
  <c r="G75" l="1"/>
  <c r="G117" s="1"/>
  <c r="G168"/>
  <c r="G93"/>
  <c r="G96" s="1"/>
  <c r="G106"/>
  <c r="H15" i="8" s="1"/>
  <c r="H18" s="1"/>
  <c r="G56" i="1"/>
  <c r="G120" l="1"/>
  <c r="G123" s="1"/>
  <c r="G124" s="1"/>
  <c r="G131"/>
  <c r="G140" s="1"/>
  <c r="G45" i="8"/>
  <c r="G15"/>
  <c r="G18" s="1"/>
  <c r="G25" s="1"/>
  <c r="G109" i="1"/>
  <c r="G113"/>
  <c r="G107"/>
  <c r="H7" i="8" s="1"/>
  <c r="H11" s="1"/>
  <c r="G94" i="1"/>
  <c r="G101"/>
  <c r="G102" s="1"/>
  <c r="G133" l="1"/>
  <c r="G6" i="3" s="1"/>
  <c r="G8" s="1"/>
  <c r="G97" i="1"/>
  <c r="G7" i="8"/>
  <c r="G11" s="1"/>
  <c r="G48"/>
  <c r="G50" s="1"/>
  <c r="H45"/>
  <c r="G29"/>
  <c r="G110" i="1"/>
  <c r="G114"/>
  <c r="G142"/>
  <c r="G144" s="1"/>
  <c r="G145" s="1"/>
  <c r="G150"/>
  <c r="G152" s="1"/>
  <c r="G135" l="1"/>
  <c r="G7" i="3" s="1"/>
  <c r="G9" s="1"/>
  <c r="G10" i="5"/>
  <c r="G39" s="1"/>
  <c r="G11" i="3"/>
  <c r="G32" i="8"/>
  <c r="G34" s="1"/>
  <c r="H29"/>
  <c r="G153" i="1"/>
  <c r="I15" i="8"/>
  <c r="I18" s="1"/>
  <c r="G60" s="1"/>
  <c r="G155" i="1"/>
  <c r="G158"/>
  <c r="J7" i="12" s="1"/>
  <c r="I7" i="8" l="1"/>
  <c r="I11" s="1"/>
  <c r="G14" i="3"/>
  <c r="G15" s="1"/>
  <c r="G11" i="5"/>
  <c r="G51"/>
  <c r="G52" s="1"/>
  <c r="G41"/>
  <c r="G64" i="8"/>
  <c r="G67" s="1"/>
  <c r="G69" s="1"/>
  <c r="J24" i="12"/>
  <c r="L24" s="1"/>
  <c r="M24" s="1"/>
  <c r="N24" s="1"/>
  <c r="J23"/>
  <c r="L23" s="1"/>
  <c r="M23" s="1"/>
  <c r="N23" s="1"/>
  <c r="J16"/>
  <c r="L16" s="1"/>
  <c r="M16" s="1"/>
  <c r="N16" s="1"/>
  <c r="J13"/>
  <c r="L13" s="1"/>
  <c r="M13" s="1"/>
  <c r="N13" s="1"/>
  <c r="J11"/>
  <c r="L11" s="1"/>
  <c r="M11" s="1"/>
  <c r="N11" s="1"/>
  <c r="J20"/>
  <c r="L20" s="1"/>
  <c r="M20" s="1"/>
  <c r="N20" s="1"/>
  <c r="J19"/>
  <c r="L19" s="1"/>
  <c r="M19" s="1"/>
  <c r="N19" s="1"/>
  <c r="J8"/>
  <c r="L8" s="1"/>
  <c r="M8" s="1"/>
  <c r="N8" s="1"/>
  <c r="J31"/>
  <c r="L31" s="1"/>
  <c r="M31" s="1"/>
  <c r="N31" s="1"/>
  <c r="J30"/>
  <c r="L30" s="1"/>
  <c r="M30" s="1"/>
  <c r="N30" s="1"/>
  <c r="J17"/>
  <c r="L17" s="1"/>
  <c r="M17" s="1"/>
  <c r="N17" s="1"/>
  <c r="J29"/>
  <c r="L29" s="1"/>
  <c r="M29" s="1"/>
  <c r="N29" s="1"/>
  <c r="J9"/>
  <c r="L9" s="1"/>
  <c r="M9" s="1"/>
  <c r="N9" s="1"/>
  <c r="J25"/>
  <c r="L25" s="1"/>
  <c r="M25" s="1"/>
  <c r="N25" s="1"/>
  <c r="J14"/>
  <c r="L14" s="1"/>
  <c r="M14" s="1"/>
  <c r="N14" s="1"/>
  <c r="L7"/>
  <c r="M7" s="1"/>
  <c r="J27"/>
  <c r="L27" s="1"/>
  <c r="M27" s="1"/>
  <c r="N27" s="1"/>
  <c r="J22"/>
  <c r="L22" s="1"/>
  <c r="M22" s="1"/>
  <c r="N22" s="1"/>
  <c r="J15"/>
  <c r="L15" s="1"/>
  <c r="M15" s="1"/>
  <c r="N15" s="1"/>
  <c r="J28"/>
  <c r="L28" s="1"/>
  <c r="M28" s="1"/>
  <c r="N28" s="1"/>
  <c r="J21"/>
  <c r="L21" s="1"/>
  <c r="M21" s="1"/>
  <c r="N21" s="1"/>
  <c r="J12"/>
  <c r="L12" s="1"/>
  <c r="M12" s="1"/>
  <c r="N12" s="1"/>
  <c r="J26"/>
  <c r="L26" s="1"/>
  <c r="M26" s="1"/>
  <c r="N26" s="1"/>
  <c r="J18"/>
  <c r="L18" s="1"/>
  <c r="M18" s="1"/>
  <c r="N18" s="1"/>
  <c r="J10"/>
  <c r="L10" s="1"/>
  <c r="M10" s="1"/>
  <c r="N10" s="1"/>
  <c r="G156" i="1"/>
  <c r="O7" i="12" s="1"/>
  <c r="G157" i="1"/>
  <c r="G18" i="5" l="1"/>
  <c r="G13"/>
  <c r="G44"/>
  <c r="G47" s="1"/>
  <c r="O23" i="12"/>
  <c r="P23" s="1"/>
  <c r="Q23" s="1"/>
  <c r="O28"/>
  <c r="P28" s="1"/>
  <c r="Q28" s="1"/>
  <c r="O18"/>
  <c r="P18" s="1"/>
  <c r="Q18" s="1"/>
  <c r="O26"/>
  <c r="P26" s="1"/>
  <c r="Q26" s="1"/>
  <c r="O16"/>
  <c r="P16" s="1"/>
  <c r="Q16" s="1"/>
  <c r="O20"/>
  <c r="P20" s="1"/>
  <c r="Q20" s="1"/>
  <c r="O11"/>
  <c r="P11" s="1"/>
  <c r="Q11" s="1"/>
  <c r="U11" s="1"/>
  <c r="O19"/>
  <c r="P19" s="1"/>
  <c r="Q19" s="1"/>
  <c r="O15"/>
  <c r="P15" s="1"/>
  <c r="Q15" s="1"/>
  <c r="U15" s="1"/>
  <c r="O30"/>
  <c r="P30" s="1"/>
  <c r="Q30" s="1"/>
  <c r="O21"/>
  <c r="P21" s="1"/>
  <c r="Q21" s="1"/>
  <c r="O8"/>
  <c r="P8" s="1"/>
  <c r="Q8" s="1"/>
  <c r="U8" s="1"/>
  <c r="P7"/>
  <c r="Q7" s="1"/>
  <c r="O24"/>
  <c r="P24" s="1"/>
  <c r="Q24" s="1"/>
  <c r="O27"/>
  <c r="P27" s="1"/>
  <c r="Q27" s="1"/>
  <c r="O29"/>
  <c r="P29" s="1"/>
  <c r="Q29" s="1"/>
  <c r="O22"/>
  <c r="P22" s="1"/>
  <c r="Q22" s="1"/>
  <c r="O31"/>
  <c r="P31" s="1"/>
  <c r="Q31" s="1"/>
  <c r="O10"/>
  <c r="P10" s="1"/>
  <c r="Q10" s="1"/>
  <c r="U10" s="1"/>
  <c r="O12"/>
  <c r="P12" s="1"/>
  <c r="Q12" s="1"/>
  <c r="U12" s="1"/>
  <c r="O9"/>
  <c r="P9" s="1"/>
  <c r="Q9" s="1"/>
  <c r="U9" s="1"/>
  <c r="O17"/>
  <c r="P17" s="1"/>
  <c r="Q17" s="1"/>
  <c r="O13"/>
  <c r="P13" s="1"/>
  <c r="Q13" s="1"/>
  <c r="U13" s="1"/>
  <c r="O14"/>
  <c r="P14" s="1"/>
  <c r="Q14" s="1"/>
  <c r="U14" s="1"/>
  <c r="O25"/>
  <c r="P25" s="1"/>
  <c r="Q25" s="1"/>
  <c r="G56" i="5" l="1"/>
  <c r="G49"/>
  <c r="R30" i="12"/>
  <c r="R20"/>
  <c r="R22"/>
  <c r="R19"/>
  <c r="R17"/>
  <c r="R27"/>
  <c r="R9"/>
  <c r="V9" s="1"/>
  <c r="R26"/>
  <c r="R14"/>
  <c r="V14" s="1"/>
  <c r="R13"/>
  <c r="V13" s="1"/>
  <c r="R21"/>
  <c r="R8"/>
  <c r="V8" s="1"/>
  <c r="R29"/>
  <c r="R28"/>
  <c r="R11"/>
  <c r="V11" s="1"/>
  <c r="R10"/>
  <c r="V10" s="1"/>
  <c r="R23"/>
  <c r="R16"/>
  <c r="R24"/>
  <c r="R31"/>
  <c r="R18"/>
  <c r="R15"/>
  <c r="V15" s="1"/>
  <c r="R25"/>
  <c r="R12"/>
  <c r="V12" s="1"/>
  <c r="U25" l="1"/>
  <c r="V25" s="1"/>
  <c r="U24"/>
  <c r="V24" s="1"/>
  <c r="U21"/>
  <c r="V21" s="1"/>
  <c r="U22"/>
  <c r="V22" s="1"/>
  <c r="U16"/>
  <c r="V16" s="1"/>
  <c r="U28"/>
  <c r="V28" s="1"/>
  <c r="U27"/>
  <c r="V27" s="1"/>
  <c r="U20"/>
  <c r="V20" s="1"/>
  <c r="U18"/>
  <c r="V18" s="1"/>
  <c r="U23"/>
  <c r="V23" s="1"/>
  <c r="U29"/>
  <c r="V29" s="1"/>
  <c r="U17"/>
  <c r="V17" s="1"/>
  <c r="U30"/>
  <c r="V30" s="1"/>
  <c r="U31"/>
  <c r="V31" s="1"/>
  <c r="U26"/>
  <c r="V26" s="1"/>
  <c r="U19"/>
  <c r="V19" s="1"/>
  <c r="G48" i="5" l="1"/>
  <c r="G57"/>
  <c r="G60" s="1"/>
  <c r="G58" l="1"/>
</calcChain>
</file>

<file path=xl/comments1.xml><?xml version="1.0" encoding="utf-8"?>
<comments xmlns="http://schemas.openxmlformats.org/spreadsheetml/2006/main">
  <authors>
    <author>作者</author>
  </authors>
  <commentList>
    <comment ref="H10" authorId="0">
      <text>
        <r>
          <rPr>
            <b/>
            <sz val="9"/>
            <color indexed="81"/>
            <rFont val="宋体"/>
            <family val="3"/>
            <charset val="134"/>
          </rPr>
          <t>注</t>
        </r>
        <r>
          <rPr>
            <sz val="9"/>
            <color indexed="81"/>
            <rFont val="宋体"/>
            <family val="3"/>
            <charset val="134"/>
          </rPr>
          <t>：若需求调研表中，设计燃料收到基水分＞</t>
        </r>
        <r>
          <rPr>
            <sz val="9"/>
            <color indexed="81"/>
            <rFont val="Tahoma"/>
            <family val="2"/>
          </rPr>
          <t>30%</t>
        </r>
        <r>
          <rPr>
            <sz val="9"/>
            <color indexed="81"/>
            <rFont val="宋体"/>
            <family val="3"/>
            <charset val="134"/>
          </rPr>
          <t>，校核燃料收到基水分＞</t>
        </r>
        <r>
          <rPr>
            <sz val="9"/>
            <color indexed="81"/>
            <rFont val="Tahoma"/>
            <family val="2"/>
          </rPr>
          <t>40%</t>
        </r>
        <r>
          <rPr>
            <sz val="9"/>
            <color indexed="81"/>
            <rFont val="宋体"/>
            <family val="3"/>
            <charset val="134"/>
          </rPr>
          <t>，则需对燃料收到基低位发热量按标准水分进行修正计算。修正后，设计燃料收到基水分按</t>
        </r>
        <r>
          <rPr>
            <sz val="9"/>
            <color indexed="81"/>
            <rFont val="Tahoma"/>
            <family val="2"/>
          </rPr>
          <t>30%</t>
        </r>
        <r>
          <rPr>
            <sz val="9"/>
            <color indexed="81"/>
            <rFont val="宋体"/>
            <family val="3"/>
            <charset val="134"/>
          </rPr>
          <t>折算，校核燃料收到基水分按</t>
        </r>
        <r>
          <rPr>
            <sz val="9"/>
            <color indexed="81"/>
            <rFont val="Tahoma"/>
            <family val="2"/>
          </rPr>
          <t>40%</t>
        </r>
        <r>
          <rPr>
            <sz val="9"/>
            <color indexed="81"/>
            <rFont val="宋体"/>
            <family val="3"/>
            <charset val="134"/>
          </rPr>
          <t>折算。设计燃料和校核燃料的修正值计算公式见右表。</t>
        </r>
      </text>
    </comment>
    <comment ref="H14" authorId="0">
      <text>
        <r>
          <rPr>
            <b/>
            <sz val="9"/>
            <color indexed="81"/>
            <rFont val="宋体"/>
            <family val="3"/>
            <charset val="134"/>
          </rPr>
          <t>注</t>
        </r>
        <r>
          <rPr>
            <b/>
            <sz val="9"/>
            <color indexed="81"/>
            <rFont val="Tahoma"/>
            <family val="2"/>
          </rPr>
          <t>:</t>
        </r>
        <r>
          <rPr>
            <sz val="9"/>
            <color indexed="81"/>
            <rFont val="Tahoma"/>
            <family val="2"/>
          </rPr>
          <t xml:space="preserve">
</t>
        </r>
        <r>
          <rPr>
            <sz val="9"/>
            <color indexed="81"/>
            <rFont val="宋体"/>
            <family val="3"/>
            <charset val="134"/>
          </rPr>
          <t>若需求调研表中用户没有提供设计燃料和校核燃料的元素分析及收到基低位发热量，则设计燃料和校核燃料这两项需要切换至操作者手动输入设定，此时需弹出对话框提示经验值范围，即</t>
        </r>
        <r>
          <rPr>
            <sz val="9"/>
            <color indexed="81"/>
            <rFont val="Tahoma"/>
            <family val="2"/>
          </rPr>
          <t>2700~3300kcal/kg</t>
        </r>
        <r>
          <rPr>
            <sz val="9"/>
            <color indexed="81"/>
            <rFont val="宋体"/>
            <family val="3"/>
            <charset val="134"/>
          </rPr>
          <t>。</t>
        </r>
      </text>
    </comment>
    <comment ref="H19" authorId="0">
      <text>
        <r>
          <rPr>
            <b/>
            <sz val="9"/>
            <color indexed="81"/>
            <rFont val="宋体"/>
            <family val="3"/>
            <charset val="134"/>
          </rPr>
          <t>注</t>
        </r>
        <r>
          <rPr>
            <b/>
            <sz val="9"/>
            <color indexed="81"/>
            <rFont val="Tahoma"/>
            <family val="2"/>
          </rPr>
          <t>:</t>
        </r>
        <r>
          <rPr>
            <sz val="9"/>
            <color indexed="81"/>
            <rFont val="Tahoma"/>
            <family val="2"/>
          </rPr>
          <t xml:space="preserve">
</t>
        </r>
        <r>
          <rPr>
            <sz val="9"/>
            <color indexed="81"/>
            <rFont val="宋体"/>
            <family val="3"/>
            <charset val="134"/>
          </rPr>
          <t>此项为手动输入设定值，但需要弹出对话框提示锅炉厂标准系列容量，即</t>
        </r>
        <r>
          <rPr>
            <sz val="9"/>
            <color indexed="81"/>
            <rFont val="Tahoma"/>
            <family val="2"/>
          </rPr>
          <t>35t/h</t>
        </r>
        <r>
          <rPr>
            <sz val="9"/>
            <color indexed="81"/>
            <rFont val="宋体"/>
            <family val="3"/>
            <charset val="134"/>
          </rPr>
          <t>、</t>
        </r>
        <r>
          <rPr>
            <sz val="9"/>
            <color indexed="81"/>
            <rFont val="Tahoma"/>
            <family val="2"/>
          </rPr>
          <t>48t/h</t>
        </r>
        <r>
          <rPr>
            <sz val="9"/>
            <color indexed="81"/>
            <rFont val="宋体"/>
            <family val="3"/>
            <charset val="134"/>
          </rPr>
          <t>、</t>
        </r>
        <r>
          <rPr>
            <sz val="9"/>
            <color indexed="81"/>
            <rFont val="Tahoma"/>
            <family val="2"/>
          </rPr>
          <t>60t/h</t>
        </r>
        <r>
          <rPr>
            <sz val="9"/>
            <color indexed="81"/>
            <rFont val="宋体"/>
            <family val="3"/>
            <charset val="134"/>
          </rPr>
          <t>、</t>
        </r>
        <r>
          <rPr>
            <sz val="9"/>
            <color indexed="81"/>
            <rFont val="Tahoma"/>
            <family val="2"/>
          </rPr>
          <t>75t/h</t>
        </r>
        <r>
          <rPr>
            <sz val="9"/>
            <color indexed="81"/>
            <rFont val="宋体"/>
            <family val="3"/>
            <charset val="134"/>
          </rPr>
          <t>、</t>
        </r>
        <r>
          <rPr>
            <sz val="9"/>
            <color indexed="81"/>
            <rFont val="Tahoma"/>
            <family val="2"/>
          </rPr>
          <t>130t/h</t>
        </r>
        <r>
          <rPr>
            <sz val="9"/>
            <color indexed="81"/>
            <rFont val="宋体"/>
            <family val="3"/>
            <charset val="134"/>
          </rPr>
          <t>、</t>
        </r>
        <r>
          <rPr>
            <sz val="9"/>
            <color indexed="81"/>
            <rFont val="Tahoma"/>
            <family val="2"/>
          </rPr>
          <t>220t/h</t>
        </r>
        <r>
          <rPr>
            <sz val="9"/>
            <color indexed="81"/>
            <rFont val="宋体"/>
            <family val="3"/>
            <charset val="134"/>
          </rPr>
          <t>。</t>
        </r>
      </text>
    </comment>
    <comment ref="H20" authorId="0">
      <text>
        <r>
          <rPr>
            <b/>
            <sz val="9"/>
            <color indexed="81"/>
            <rFont val="宋体"/>
            <family val="3"/>
            <charset val="134"/>
          </rPr>
          <t>注</t>
        </r>
        <r>
          <rPr>
            <b/>
            <sz val="9"/>
            <color indexed="81"/>
            <rFont val="Tahoma"/>
            <family val="2"/>
          </rPr>
          <t xml:space="preserve">:
</t>
        </r>
        <r>
          <rPr>
            <sz val="9"/>
            <color indexed="81"/>
            <rFont val="宋体"/>
            <family val="3"/>
            <charset val="134"/>
          </rPr>
          <t>需设置过热蒸汽参数选项供操作者选择，即高温高压、次高温次高压和中温中压。在操作者选取过热蒸汽参数后，自动关联并显示出过热蒸汽出口压力和过热蒸汽温度。每种参数对应的具体压力和温度如又表所示。</t>
        </r>
        <r>
          <rPr>
            <sz val="9"/>
            <color indexed="81"/>
            <rFont val="Tahoma"/>
            <family val="2"/>
          </rPr>
          <t xml:space="preserve">
</t>
        </r>
      </text>
    </comment>
    <comment ref="H25" authorId="0">
      <text>
        <r>
          <rPr>
            <b/>
            <sz val="9"/>
            <color indexed="81"/>
            <rFont val="宋体"/>
            <family val="3"/>
            <charset val="134"/>
          </rPr>
          <t>注</t>
        </r>
        <r>
          <rPr>
            <b/>
            <sz val="9"/>
            <color indexed="81"/>
            <rFont val="Tahoma"/>
            <family val="2"/>
          </rPr>
          <t xml:space="preserve">:
</t>
        </r>
        <r>
          <rPr>
            <sz val="9"/>
            <color indexed="81"/>
            <rFont val="宋体"/>
            <family val="3"/>
            <charset val="134"/>
          </rPr>
          <t>此项操作者可手动修改，但应设定原始值，并弹出对话框提示其它推荐值。不同过热蒸汽参数对应的原始设定值及其它推荐值如右表所示。</t>
        </r>
      </text>
    </comment>
    <comment ref="H27" authorId="0">
      <text>
        <r>
          <rPr>
            <b/>
            <sz val="9"/>
            <color indexed="81"/>
            <rFont val="宋体"/>
            <family val="3"/>
            <charset val="134"/>
          </rPr>
          <t xml:space="preserve">注：
</t>
        </r>
        <r>
          <rPr>
            <sz val="9"/>
            <color indexed="81"/>
            <rFont val="宋体"/>
            <family val="3"/>
            <charset val="134"/>
          </rPr>
          <t xml:space="preserve">此项为默认设定值，与锅炉炉型关联，当前面选定炉型后，自动显示锅炉效率。不同炉型对应的锅炉效率如右表所示。
</t>
        </r>
      </text>
    </comment>
    <comment ref="H28" authorId="0">
      <text>
        <r>
          <rPr>
            <b/>
            <sz val="9"/>
            <color indexed="81"/>
            <rFont val="宋体"/>
            <family val="3"/>
            <charset val="134"/>
          </rPr>
          <t>注</t>
        </r>
        <r>
          <rPr>
            <b/>
            <sz val="9"/>
            <color indexed="81"/>
            <rFont val="Tahoma"/>
            <family val="2"/>
          </rPr>
          <t xml:space="preserve">:
</t>
        </r>
        <r>
          <rPr>
            <sz val="9"/>
            <color indexed="81"/>
            <rFont val="宋体"/>
            <family val="3"/>
            <charset val="134"/>
          </rPr>
          <t>此项为默认设定值，与锅炉炉型有关，当前面炉型选定后自动显示。不同炉型对应的机械未燃烧损失如右表所示。</t>
        </r>
        <r>
          <rPr>
            <sz val="9"/>
            <color indexed="81"/>
            <rFont val="Tahoma"/>
            <family val="2"/>
          </rPr>
          <t xml:space="preserve">
</t>
        </r>
      </text>
    </comment>
    <comment ref="H35" authorId="0">
      <text>
        <r>
          <rPr>
            <b/>
            <sz val="9"/>
            <color indexed="81"/>
            <rFont val="宋体"/>
            <family val="3"/>
            <charset val="134"/>
          </rPr>
          <t>注</t>
        </r>
        <r>
          <rPr>
            <b/>
            <sz val="9"/>
            <color indexed="81"/>
            <rFont val="Tahoma"/>
            <family val="2"/>
          </rPr>
          <t xml:space="preserve">:
</t>
        </r>
        <r>
          <rPr>
            <sz val="9"/>
            <color indexed="81"/>
            <rFont val="宋体"/>
            <family val="3"/>
            <charset val="134"/>
          </rPr>
          <t>飞灰份额和底渣份额为默认设定值，与锅炉炉型有关，当前面炉型选定后自动显示。不同炉型对应的飞灰份额和底渣份额如右表所示。</t>
        </r>
        <r>
          <rPr>
            <sz val="9"/>
            <color indexed="81"/>
            <rFont val="Tahoma"/>
            <family val="2"/>
          </rPr>
          <t xml:space="preserve">
</t>
        </r>
      </text>
    </comment>
  </commentList>
</comments>
</file>

<file path=xl/comments2.xml><?xml version="1.0" encoding="utf-8"?>
<comments xmlns="http://schemas.openxmlformats.org/spreadsheetml/2006/main">
  <authors>
    <author>作者</author>
  </authors>
  <commentList>
    <comment ref="H6" authorId="0">
      <text>
        <r>
          <rPr>
            <b/>
            <sz val="9"/>
            <color indexed="81"/>
            <rFont val="宋体"/>
            <family val="3"/>
            <charset val="134"/>
          </rPr>
          <t>注</t>
        </r>
        <r>
          <rPr>
            <b/>
            <sz val="9"/>
            <color indexed="81"/>
            <rFont val="Tahoma"/>
            <family val="2"/>
          </rPr>
          <t xml:space="preserve">:
</t>
        </r>
        <r>
          <rPr>
            <sz val="9"/>
            <color indexed="81"/>
            <rFont val="宋体"/>
            <family val="3"/>
            <charset val="134"/>
          </rPr>
          <t>此项为操作者手动输入项，需给出原始设定值，不同不炉型对应的原始设定值也不同，因此该设定值应与锅炉计算炉型选项关联。不同炉型对应的设定值如右表所示。</t>
        </r>
        <r>
          <rPr>
            <sz val="9"/>
            <color indexed="81"/>
            <rFont val="Tahoma"/>
            <family val="2"/>
          </rPr>
          <t xml:space="preserve">
</t>
        </r>
      </text>
    </comment>
    <comment ref="H12" authorId="0">
      <text>
        <r>
          <rPr>
            <b/>
            <sz val="9"/>
            <color indexed="81"/>
            <rFont val="宋体"/>
            <family val="3"/>
            <charset val="134"/>
          </rPr>
          <t>注</t>
        </r>
        <r>
          <rPr>
            <b/>
            <sz val="9"/>
            <color indexed="81"/>
            <rFont val="Tahoma"/>
            <family val="2"/>
          </rPr>
          <t>:</t>
        </r>
        <r>
          <rPr>
            <sz val="9"/>
            <color indexed="81"/>
            <rFont val="Tahoma"/>
            <family val="2"/>
          </rPr>
          <t xml:space="preserve">
</t>
        </r>
        <r>
          <rPr>
            <sz val="9"/>
            <color indexed="81"/>
            <rFont val="宋体"/>
            <family val="3"/>
            <charset val="134"/>
          </rPr>
          <t>目前，国内生物质电厂的燃料一般以各收购点厂外破碎为主，厂内一般不设破碎设备。电子汽车衡配备的数量一般为</t>
        </r>
        <r>
          <rPr>
            <sz val="9"/>
            <color indexed="81"/>
            <rFont val="Tahoma"/>
            <family val="2"/>
          </rPr>
          <t>2</t>
        </r>
        <r>
          <rPr>
            <sz val="9"/>
            <color indexed="81"/>
            <rFont val="宋体"/>
            <family val="3"/>
            <charset val="134"/>
          </rPr>
          <t>台，</t>
        </r>
        <r>
          <rPr>
            <sz val="9"/>
            <color indexed="81"/>
            <rFont val="Tahoma"/>
            <family val="2"/>
          </rPr>
          <t>1</t>
        </r>
        <r>
          <rPr>
            <sz val="9"/>
            <color indexed="81"/>
            <rFont val="宋体"/>
            <family val="3"/>
            <charset val="134"/>
          </rPr>
          <t>台计量进厂重车，</t>
        </r>
        <r>
          <rPr>
            <sz val="9"/>
            <color indexed="81"/>
            <rFont val="Tahoma"/>
            <family val="2"/>
          </rPr>
          <t>1</t>
        </r>
        <r>
          <rPr>
            <sz val="9"/>
            <color indexed="81"/>
            <rFont val="宋体"/>
            <family val="3"/>
            <charset val="134"/>
          </rPr>
          <t>台计量出厂空车，吨位多在</t>
        </r>
        <r>
          <rPr>
            <sz val="9"/>
            <color indexed="81"/>
            <rFont val="Tahoma"/>
            <family val="2"/>
          </rPr>
          <t>50~100t</t>
        </r>
        <r>
          <rPr>
            <sz val="9"/>
            <color indexed="81"/>
            <rFont val="宋体"/>
            <family val="3"/>
            <charset val="134"/>
          </rPr>
          <t>。</t>
        </r>
        <r>
          <rPr>
            <sz val="9"/>
            <color indexed="81"/>
            <rFont val="Tahoma"/>
            <family val="2"/>
          </rPr>
          <t xml:space="preserve">
</t>
        </r>
        <r>
          <rPr>
            <sz val="9"/>
            <color indexed="81"/>
            <rFont val="宋体"/>
            <family val="3"/>
            <charset val="134"/>
          </rPr>
          <t>厂内原料堆场的主要作用是对入厂燃料进行暂存及翻晒，按布置形式可分为露天堆场和半露天堆场，北方地区由于少雨，一般多采用露天堆场，南方地区由于多雨，一般多采用半露天堆场，需设置遮雨棚；按功能作用又可分为常用堆场和备用堆场。
（</t>
        </r>
        <r>
          <rPr>
            <sz val="9"/>
            <color indexed="81"/>
            <rFont val="Tahoma"/>
            <family val="2"/>
          </rPr>
          <t>1</t>
        </r>
        <r>
          <rPr>
            <sz val="9"/>
            <color indexed="81"/>
            <rFont val="宋体"/>
            <family val="3"/>
            <charset val="134"/>
          </rPr>
          <t>）配置</t>
        </r>
        <r>
          <rPr>
            <sz val="9"/>
            <color indexed="81"/>
            <rFont val="Tahoma"/>
            <family val="2"/>
          </rPr>
          <t>1</t>
        </r>
        <r>
          <rPr>
            <sz val="9"/>
            <color indexed="81"/>
            <rFont val="宋体"/>
            <family val="3"/>
            <charset val="134"/>
          </rPr>
          <t>台装载机及</t>
        </r>
        <r>
          <rPr>
            <sz val="9"/>
            <color indexed="81"/>
            <rFont val="Tahoma"/>
            <family val="2"/>
          </rPr>
          <t>2</t>
        </r>
        <r>
          <rPr>
            <sz val="9"/>
            <color indexed="81"/>
            <rFont val="宋体"/>
            <family val="3"/>
            <charset val="134"/>
          </rPr>
          <t>台液压叠臂式抓斗起重机，用于燃料的堆卸料及转运工作；
（</t>
        </r>
        <r>
          <rPr>
            <sz val="9"/>
            <color indexed="81"/>
            <rFont val="Tahoma"/>
            <family val="2"/>
          </rPr>
          <t>2</t>
        </r>
        <r>
          <rPr>
            <sz val="9"/>
            <color indexed="81"/>
            <rFont val="宋体"/>
            <family val="3"/>
            <charset val="134"/>
          </rPr>
          <t>）原料堆场内的转运及堆高设备由用户根据电厂实际运行情况采购。</t>
        </r>
      </text>
    </comment>
    <comment ref="H20" authorId="0">
      <text>
        <r>
          <rPr>
            <b/>
            <sz val="9"/>
            <color indexed="81"/>
            <rFont val="宋体"/>
            <family val="3"/>
            <charset val="134"/>
          </rPr>
          <t>注</t>
        </r>
        <r>
          <rPr>
            <b/>
            <sz val="9"/>
            <color indexed="81"/>
            <rFont val="Tahoma"/>
            <family val="2"/>
          </rPr>
          <t>:</t>
        </r>
        <r>
          <rPr>
            <sz val="9"/>
            <color indexed="81"/>
            <rFont val="Tahoma"/>
            <family val="2"/>
          </rPr>
          <t xml:space="preserve">
</t>
        </r>
        <r>
          <rPr>
            <sz val="9"/>
            <color indexed="81"/>
            <rFont val="宋体"/>
            <family val="3"/>
            <charset val="134"/>
          </rPr>
          <t>干料棚的主要作用是储存符合入炉要求的燃料，兼具卸载、转运、拌料、上料、整备等功能，一般采用半封闭式结构，设消防措施，不设采暖措施。
（</t>
        </r>
        <r>
          <rPr>
            <sz val="9"/>
            <color indexed="81"/>
            <rFont val="Tahoma"/>
            <family val="2"/>
          </rPr>
          <t>1</t>
        </r>
        <r>
          <rPr>
            <sz val="9"/>
            <color indexed="81"/>
            <rFont val="宋体"/>
            <family val="3"/>
            <charset val="134"/>
          </rPr>
          <t>）对于一炉一机配置的生物质电厂，干料棚内一般设置</t>
        </r>
        <r>
          <rPr>
            <sz val="9"/>
            <color indexed="81"/>
            <rFont val="Tahoma"/>
            <family val="2"/>
          </rPr>
          <t>2</t>
        </r>
        <r>
          <rPr>
            <sz val="9"/>
            <color indexed="81"/>
            <rFont val="宋体"/>
            <family val="3"/>
            <charset val="134"/>
          </rPr>
          <t>台液压叠臂式抓斗起重机，每台起重量</t>
        </r>
        <r>
          <rPr>
            <sz val="9"/>
            <color indexed="81"/>
            <rFont val="Tahoma"/>
            <family val="2"/>
          </rPr>
          <t>10t</t>
        </r>
        <r>
          <rPr>
            <sz val="9"/>
            <color indexed="81"/>
            <rFont val="宋体"/>
            <family val="3"/>
            <charset val="134"/>
          </rPr>
          <t>，斗容</t>
        </r>
        <r>
          <rPr>
            <sz val="9"/>
            <color indexed="81"/>
            <rFont val="Tahoma"/>
            <family val="2"/>
          </rPr>
          <t>3m³</t>
        </r>
        <r>
          <rPr>
            <sz val="9"/>
            <color indexed="81"/>
            <rFont val="宋体"/>
            <family val="3"/>
            <charset val="134"/>
          </rPr>
          <t>，也可配置</t>
        </r>
        <r>
          <rPr>
            <sz val="9"/>
            <color indexed="81"/>
            <rFont val="Tahoma"/>
            <family val="2"/>
          </rPr>
          <t>2</t>
        </r>
        <r>
          <rPr>
            <sz val="9"/>
            <color indexed="81"/>
            <rFont val="宋体"/>
            <family val="3"/>
            <charset val="134"/>
          </rPr>
          <t>台内燃叉车或</t>
        </r>
        <r>
          <rPr>
            <sz val="9"/>
            <color indexed="81"/>
            <rFont val="Tahoma"/>
            <family val="2"/>
          </rPr>
          <t>2</t>
        </r>
        <r>
          <rPr>
            <sz val="9"/>
            <color indexed="81"/>
            <rFont val="宋体"/>
            <family val="3"/>
            <charset val="134"/>
          </rPr>
          <t>台轮式装载机，另设</t>
        </r>
        <r>
          <rPr>
            <sz val="9"/>
            <color indexed="81"/>
            <rFont val="Tahoma"/>
            <family val="2"/>
          </rPr>
          <t>1</t>
        </r>
        <r>
          <rPr>
            <sz val="9"/>
            <color indexed="81"/>
            <rFont val="宋体"/>
            <family val="3"/>
            <charset val="134"/>
          </rPr>
          <t>台备用；
（</t>
        </r>
        <r>
          <rPr>
            <sz val="9"/>
            <color indexed="81"/>
            <rFont val="Tahoma"/>
            <family val="2"/>
          </rPr>
          <t>2</t>
        </r>
        <r>
          <rPr>
            <sz val="9"/>
            <color indexed="81"/>
            <rFont val="宋体"/>
            <family val="3"/>
            <charset val="134"/>
          </rPr>
          <t>）对于两炉两机配置的生物质电厂，干料棚内一般设置</t>
        </r>
        <r>
          <rPr>
            <sz val="9"/>
            <color indexed="81"/>
            <rFont val="Tahoma"/>
            <family val="2"/>
          </rPr>
          <t>4</t>
        </r>
        <r>
          <rPr>
            <sz val="9"/>
            <color indexed="81"/>
            <rFont val="宋体"/>
            <family val="3"/>
            <charset val="134"/>
          </rPr>
          <t>台液压叠臂式抓斗起重机，每台起重量</t>
        </r>
        <r>
          <rPr>
            <sz val="9"/>
            <color indexed="81"/>
            <rFont val="Tahoma"/>
            <family val="2"/>
          </rPr>
          <t>5t</t>
        </r>
        <r>
          <rPr>
            <sz val="9"/>
            <color indexed="81"/>
            <rFont val="宋体"/>
            <family val="3"/>
            <charset val="134"/>
          </rPr>
          <t>，斗容</t>
        </r>
        <r>
          <rPr>
            <sz val="9"/>
            <color indexed="81"/>
            <rFont val="Tahoma"/>
            <family val="2"/>
          </rPr>
          <t>1.5m³</t>
        </r>
        <r>
          <rPr>
            <sz val="9"/>
            <color indexed="81"/>
            <rFont val="宋体"/>
            <family val="3"/>
            <charset val="134"/>
          </rPr>
          <t>，并辅以装载机及内燃叉车。</t>
        </r>
      </text>
    </comment>
    <comment ref="H44" authorId="0">
      <text>
        <r>
          <rPr>
            <b/>
            <sz val="9"/>
            <color indexed="81"/>
            <rFont val="宋体"/>
            <family val="3"/>
            <charset val="134"/>
          </rPr>
          <t>注</t>
        </r>
        <r>
          <rPr>
            <b/>
            <sz val="9"/>
            <color indexed="81"/>
            <rFont val="Tahoma"/>
            <family val="2"/>
          </rPr>
          <t xml:space="preserve">:
</t>
        </r>
        <r>
          <rPr>
            <sz val="9"/>
            <color indexed="81"/>
            <rFont val="宋体"/>
            <family val="3"/>
            <charset val="134"/>
          </rPr>
          <t>根据《秸秆发电设计规范》：
（</t>
        </r>
        <r>
          <rPr>
            <sz val="9"/>
            <color indexed="81"/>
            <rFont val="Tahoma"/>
            <family val="2"/>
          </rPr>
          <t>1</t>
        </r>
        <r>
          <rPr>
            <sz val="9"/>
            <color indexed="81"/>
            <rFont val="宋体"/>
            <family val="3"/>
            <charset val="134"/>
          </rPr>
          <t>）皮带输送机上应安装电子皮带秤用于入炉燃料的计量；
（</t>
        </r>
        <r>
          <rPr>
            <sz val="9"/>
            <color indexed="81"/>
            <rFont val="Tahoma"/>
            <family val="2"/>
          </rPr>
          <t>2</t>
        </r>
        <r>
          <rPr>
            <sz val="9"/>
            <color indexed="81"/>
            <rFont val="宋体"/>
            <family val="3"/>
            <charset val="134"/>
          </rPr>
          <t>）在输</t>
        </r>
        <r>
          <rPr>
            <sz val="9"/>
            <color indexed="81"/>
            <rFont val="宋体"/>
            <family val="3"/>
            <charset val="134"/>
          </rPr>
          <t>料栈桥采光间应设置一级圆盘电磁除铁器，在除铁器落铁处，还应设置集铁桶。</t>
        </r>
      </text>
    </comment>
    <comment ref="G54" authorId="0">
      <text>
        <r>
          <rPr>
            <b/>
            <sz val="9"/>
            <color indexed="81"/>
            <rFont val="宋体"/>
            <family val="3"/>
            <charset val="134"/>
          </rPr>
          <t>注</t>
        </r>
        <r>
          <rPr>
            <b/>
            <sz val="9"/>
            <color indexed="81"/>
            <rFont val="Tahoma"/>
            <family val="2"/>
          </rPr>
          <t xml:space="preserve">:
</t>
        </r>
        <r>
          <rPr>
            <sz val="9"/>
            <color indexed="81"/>
            <rFont val="宋体"/>
            <family val="3"/>
            <charset val="134"/>
          </rPr>
          <t>此项与皮带宽度关联，皮带宽度一旦确定，断面系数根据右表进行自动匹配。</t>
        </r>
        <r>
          <rPr>
            <b/>
            <sz val="9"/>
            <color indexed="81"/>
            <rFont val="Tahoma"/>
            <family val="2"/>
          </rPr>
          <t xml:space="preserve">
</t>
        </r>
      </text>
    </comment>
    <comment ref="H71" authorId="0">
      <text>
        <r>
          <rPr>
            <b/>
            <sz val="9"/>
            <color indexed="81"/>
            <rFont val="宋体"/>
            <family val="3"/>
            <charset val="134"/>
          </rPr>
          <t>注</t>
        </r>
        <r>
          <rPr>
            <b/>
            <sz val="9"/>
            <color indexed="81"/>
            <rFont val="Tahoma"/>
            <family val="2"/>
          </rPr>
          <t xml:space="preserve">:
</t>
        </r>
        <r>
          <rPr>
            <sz val="9"/>
            <color indexed="81"/>
            <rFont val="宋体"/>
            <family val="3"/>
            <charset val="134"/>
          </rPr>
          <t>锅炉计算中若过热蒸汽额定流量≤</t>
        </r>
        <r>
          <rPr>
            <sz val="9"/>
            <color indexed="81"/>
            <rFont val="Tahoma"/>
            <family val="2"/>
          </rPr>
          <t>65t/h</t>
        </r>
        <r>
          <rPr>
            <sz val="9"/>
            <color indexed="81"/>
            <rFont val="宋体"/>
            <family val="3"/>
            <charset val="134"/>
          </rPr>
          <t>，则此项默认值自动取</t>
        </r>
        <r>
          <rPr>
            <sz val="9"/>
            <color indexed="81"/>
            <rFont val="Tahoma"/>
            <family val="2"/>
          </rPr>
          <t>2</t>
        </r>
        <r>
          <rPr>
            <sz val="9"/>
            <color indexed="81"/>
            <rFont val="宋体"/>
            <family val="3"/>
            <charset val="134"/>
          </rPr>
          <t>，若过热蒸汽额定流量＞</t>
        </r>
        <r>
          <rPr>
            <sz val="9"/>
            <color indexed="81"/>
            <rFont val="Tahoma"/>
            <family val="2"/>
          </rPr>
          <t>65t/h</t>
        </r>
        <r>
          <rPr>
            <sz val="9"/>
            <color indexed="81"/>
            <rFont val="宋体"/>
            <family val="3"/>
            <charset val="134"/>
          </rPr>
          <t>，则此项默认值自动取</t>
        </r>
        <r>
          <rPr>
            <sz val="9"/>
            <color indexed="81"/>
            <rFont val="Tahoma"/>
            <family val="2"/>
          </rPr>
          <t>4</t>
        </r>
        <r>
          <rPr>
            <sz val="9"/>
            <color indexed="81"/>
            <rFont val="宋体"/>
            <family val="3"/>
            <charset val="134"/>
          </rPr>
          <t>。</t>
        </r>
        <r>
          <rPr>
            <sz val="9"/>
            <color indexed="81"/>
            <rFont val="Tahoma"/>
            <family val="2"/>
          </rPr>
          <t xml:space="preserve">
</t>
        </r>
      </text>
    </comment>
  </commentList>
</comments>
</file>

<file path=xl/comments3.xml><?xml version="1.0" encoding="utf-8"?>
<comments xmlns="http://schemas.openxmlformats.org/spreadsheetml/2006/main">
  <authors>
    <author>作者</author>
  </authors>
  <commentList>
    <comment ref="G10" authorId="0">
      <text>
        <r>
          <rPr>
            <b/>
            <sz val="9"/>
            <color indexed="81"/>
            <rFont val="宋体"/>
            <family val="3"/>
            <charset val="134"/>
          </rPr>
          <t>注</t>
        </r>
        <r>
          <rPr>
            <b/>
            <sz val="9"/>
            <color indexed="81"/>
            <rFont val="Tahoma"/>
            <family val="2"/>
          </rPr>
          <t>:</t>
        </r>
        <r>
          <rPr>
            <sz val="9"/>
            <color indexed="81"/>
            <rFont val="Tahoma"/>
            <family val="2"/>
          </rPr>
          <t xml:space="preserve">
</t>
        </r>
        <r>
          <rPr>
            <sz val="9"/>
            <color indexed="81"/>
            <rFont val="宋体"/>
            <family val="3"/>
            <charset val="134"/>
          </rPr>
          <t>根据相关项目经验及设计院资料可知，国内生物质发电项目除尘方式多采用旋风除尘器＋布袋除尘器，即组合式除尘器。前置的双筒旋风除尘器主要作用是预除尘，其除尘效率</t>
        </r>
        <r>
          <rPr>
            <sz val="9"/>
            <color indexed="81"/>
            <rFont val="Tahoma"/>
            <family val="2"/>
          </rPr>
          <t>~70%</t>
        </r>
        <r>
          <rPr>
            <sz val="9"/>
            <color indexed="81"/>
            <rFont val="宋体"/>
            <family val="3"/>
            <charset val="134"/>
          </rPr>
          <t>，后置的布袋除尘器是主要的除尘设备，其除尘效率≥</t>
        </r>
        <r>
          <rPr>
            <sz val="9"/>
            <color indexed="81"/>
            <rFont val="Tahoma"/>
            <family val="2"/>
          </rPr>
          <t>99.80%</t>
        </r>
        <r>
          <rPr>
            <sz val="9"/>
            <color indexed="81"/>
            <rFont val="宋体"/>
            <family val="3"/>
            <charset val="134"/>
          </rPr>
          <t>。</t>
        </r>
      </text>
    </comment>
    <comment ref="G17" authorId="0">
      <text>
        <r>
          <rPr>
            <b/>
            <sz val="9"/>
            <color indexed="81"/>
            <rFont val="宋体"/>
            <family val="3"/>
            <charset val="134"/>
          </rPr>
          <t>注</t>
        </r>
        <r>
          <rPr>
            <b/>
            <sz val="9"/>
            <color indexed="81"/>
            <rFont val="Tahoma"/>
            <family val="2"/>
          </rPr>
          <t>:</t>
        </r>
        <r>
          <rPr>
            <sz val="9"/>
            <color indexed="81"/>
            <rFont val="Tahoma"/>
            <family val="2"/>
          </rPr>
          <t xml:space="preserve">
</t>
        </r>
        <r>
          <rPr>
            <sz val="9"/>
            <color indexed="81"/>
            <rFont val="宋体"/>
            <family val="3"/>
            <charset val="134"/>
          </rPr>
          <t xml:space="preserve">除灰渣系统的工艺原则：灰渣分除、干湿分排方案。
</t>
        </r>
        <r>
          <rPr>
            <sz val="9"/>
            <color indexed="81"/>
            <rFont val="Tahoma"/>
            <family val="2"/>
          </rPr>
          <t>1</t>
        </r>
        <r>
          <rPr>
            <sz val="9"/>
            <color indexed="81"/>
            <rFont val="宋体"/>
            <family val="3"/>
            <charset val="134"/>
          </rPr>
          <t xml:space="preserve">、除灰系统：省煤器和旋风除尘器＋布袋除尘器干灰采用正压浓相气力输送方式清除；
</t>
        </r>
        <r>
          <rPr>
            <sz val="9"/>
            <color indexed="81"/>
            <rFont val="Tahoma"/>
            <family val="2"/>
          </rPr>
          <t>2</t>
        </r>
        <r>
          <rPr>
            <sz val="9"/>
            <color indexed="81"/>
            <rFont val="宋体"/>
            <family val="3"/>
            <charset val="134"/>
          </rPr>
          <t>、除渣系统：锅炉底渣采用干式机械除渣方式清除。</t>
        </r>
      </text>
    </comment>
    <comment ref="G22" authorId="0">
      <text>
        <r>
          <rPr>
            <b/>
            <sz val="9"/>
            <color indexed="81"/>
            <rFont val="宋体"/>
            <family val="3"/>
            <charset val="134"/>
          </rPr>
          <t>注</t>
        </r>
        <r>
          <rPr>
            <b/>
            <sz val="9"/>
            <color indexed="81"/>
            <rFont val="Tahoma"/>
            <family val="2"/>
          </rPr>
          <t>:</t>
        </r>
        <r>
          <rPr>
            <sz val="9"/>
            <color indexed="81"/>
            <rFont val="Tahoma"/>
            <family val="2"/>
          </rPr>
          <t xml:space="preserve">
</t>
        </r>
        <r>
          <rPr>
            <sz val="9"/>
            <color indexed="81"/>
            <rFont val="宋体"/>
            <family val="3"/>
            <charset val="134"/>
          </rPr>
          <t>除灰系统的主要设备除了灰仓外，还包括仓泵、脉冲布袋除尘器、气化槽、气化风机、电加热器、库底卸料器、干灰散装机、双轴加湿搅拌机（湿度</t>
        </r>
        <r>
          <rPr>
            <sz val="9"/>
            <color indexed="81"/>
            <rFont val="Tahoma"/>
            <family val="2"/>
          </rPr>
          <t>15~25%</t>
        </r>
        <r>
          <rPr>
            <sz val="9"/>
            <color indexed="81"/>
            <rFont val="宋体"/>
            <family val="3"/>
            <charset val="134"/>
          </rPr>
          <t>）、储气罐等。</t>
        </r>
      </text>
    </comment>
    <comment ref="G38" authorId="0">
      <text>
        <r>
          <rPr>
            <b/>
            <sz val="9"/>
            <color indexed="81"/>
            <rFont val="宋体"/>
            <family val="3"/>
            <charset val="134"/>
          </rPr>
          <t>注</t>
        </r>
        <r>
          <rPr>
            <b/>
            <sz val="9"/>
            <color indexed="81"/>
            <rFont val="Tahoma"/>
            <family val="2"/>
          </rPr>
          <t>:</t>
        </r>
        <r>
          <rPr>
            <sz val="9"/>
            <color indexed="81"/>
            <rFont val="Tahoma"/>
            <family val="2"/>
          </rPr>
          <t xml:space="preserve">
</t>
        </r>
        <r>
          <rPr>
            <sz val="9"/>
            <color indexed="81"/>
            <rFont val="宋体"/>
            <family val="3"/>
            <charset val="134"/>
          </rPr>
          <t>除渣系统的主要设备除了水冷滚筒冷渣器、链斗输送机、斗式提升机、渣仓外，还包括仓顶脉冲收尘器、排渣门等。</t>
        </r>
      </text>
    </comment>
  </commentList>
</comments>
</file>

<file path=xl/comments4.xml><?xml version="1.0" encoding="utf-8"?>
<comments xmlns="http://schemas.openxmlformats.org/spreadsheetml/2006/main">
  <authors>
    <author>作者</author>
  </authors>
  <commentList>
    <comment ref="G34" authorId="0">
      <text>
        <r>
          <rPr>
            <b/>
            <sz val="9"/>
            <color indexed="81"/>
            <rFont val="宋体"/>
            <family val="3"/>
            <charset val="134"/>
          </rPr>
          <t>注</t>
        </r>
        <r>
          <rPr>
            <b/>
            <sz val="9"/>
            <color indexed="81"/>
            <rFont val="Tahoma"/>
            <family val="2"/>
          </rPr>
          <t>:</t>
        </r>
        <r>
          <rPr>
            <sz val="9"/>
            <color indexed="81"/>
            <rFont val="Tahoma"/>
            <family val="2"/>
          </rPr>
          <t xml:space="preserve">
</t>
        </r>
        <r>
          <rPr>
            <sz val="9"/>
            <color indexed="81"/>
            <rFont val="宋体"/>
            <family val="3"/>
            <charset val="134"/>
          </rPr>
          <t>根据《秸秆发电厂设计规范》可知，发电厂的烟囱高度应高于厂区内最高建筑物高度的</t>
        </r>
        <r>
          <rPr>
            <sz val="9"/>
            <color indexed="81"/>
            <rFont val="Tahoma"/>
            <family val="2"/>
          </rPr>
          <t>2~2.5</t>
        </r>
        <r>
          <rPr>
            <sz val="9"/>
            <color indexed="81"/>
            <rFont val="宋体"/>
            <family val="3"/>
            <charset val="134"/>
          </rPr>
          <t>倍，即高于锅炉房或露天锅炉炉顶高度的</t>
        </r>
        <r>
          <rPr>
            <sz val="9"/>
            <color indexed="81"/>
            <rFont val="Tahoma"/>
            <family val="2"/>
          </rPr>
          <t>2~2.5</t>
        </r>
        <r>
          <rPr>
            <sz val="9"/>
            <color indexed="81"/>
            <rFont val="宋体"/>
            <family val="3"/>
            <charset val="134"/>
          </rPr>
          <t>倍。根据以往项目经验及设计院相关资料，一炉一机对应的烟囱高度多为</t>
        </r>
        <r>
          <rPr>
            <sz val="9"/>
            <color indexed="81"/>
            <rFont val="Tahoma"/>
            <family val="2"/>
          </rPr>
          <t>40m</t>
        </r>
        <r>
          <rPr>
            <sz val="9"/>
            <color indexed="81"/>
            <rFont val="宋体"/>
            <family val="3"/>
            <charset val="134"/>
          </rPr>
          <t>、</t>
        </r>
        <r>
          <rPr>
            <sz val="9"/>
            <color indexed="81"/>
            <rFont val="Tahoma"/>
            <family val="2"/>
          </rPr>
          <t>45m</t>
        </r>
        <r>
          <rPr>
            <sz val="9"/>
            <color indexed="81"/>
            <rFont val="宋体"/>
            <family val="3"/>
            <charset val="134"/>
          </rPr>
          <t>、</t>
        </r>
        <r>
          <rPr>
            <sz val="9"/>
            <color indexed="81"/>
            <rFont val="Tahoma"/>
            <family val="2"/>
          </rPr>
          <t>60m</t>
        </r>
        <r>
          <rPr>
            <sz val="9"/>
            <color indexed="81"/>
            <rFont val="宋体"/>
            <family val="3"/>
            <charset val="134"/>
          </rPr>
          <t>、</t>
        </r>
        <r>
          <rPr>
            <sz val="9"/>
            <color indexed="81"/>
            <rFont val="Tahoma"/>
            <family val="2"/>
          </rPr>
          <t>80m</t>
        </r>
        <r>
          <rPr>
            <sz val="9"/>
            <color indexed="81"/>
            <rFont val="宋体"/>
            <family val="3"/>
            <charset val="134"/>
          </rPr>
          <t>，出口内径多为</t>
        </r>
        <r>
          <rPr>
            <sz val="9"/>
            <color indexed="81"/>
            <rFont val="Tahoma"/>
            <family val="2"/>
          </rPr>
          <t>1.6m</t>
        </r>
        <r>
          <rPr>
            <sz val="9"/>
            <color indexed="81"/>
            <rFont val="宋体"/>
            <family val="3"/>
            <charset val="134"/>
          </rPr>
          <t>、</t>
        </r>
        <r>
          <rPr>
            <sz val="9"/>
            <color indexed="81"/>
            <rFont val="Tahoma"/>
            <family val="2"/>
          </rPr>
          <t>1.8m</t>
        </r>
        <r>
          <rPr>
            <sz val="9"/>
            <color indexed="81"/>
            <rFont val="宋体"/>
            <family val="3"/>
            <charset val="134"/>
          </rPr>
          <t>、</t>
        </r>
        <r>
          <rPr>
            <sz val="9"/>
            <color indexed="81"/>
            <rFont val="Tahoma"/>
            <family val="2"/>
          </rPr>
          <t>2.0m</t>
        </r>
        <r>
          <rPr>
            <sz val="9"/>
            <color indexed="81"/>
            <rFont val="宋体"/>
            <family val="3"/>
            <charset val="134"/>
          </rPr>
          <t>、</t>
        </r>
        <r>
          <rPr>
            <sz val="9"/>
            <color indexed="81"/>
            <rFont val="Tahoma"/>
            <family val="2"/>
          </rPr>
          <t>2.5m</t>
        </r>
        <r>
          <rPr>
            <sz val="9"/>
            <color indexed="81"/>
            <rFont val="宋体"/>
            <family val="3"/>
            <charset val="134"/>
          </rPr>
          <t>；两炉两机对应的烟囱高度多为</t>
        </r>
        <r>
          <rPr>
            <sz val="9"/>
            <color indexed="81"/>
            <rFont val="Tahoma"/>
            <family val="2"/>
          </rPr>
          <t>80m</t>
        </r>
        <r>
          <rPr>
            <sz val="9"/>
            <color indexed="81"/>
            <rFont val="宋体"/>
            <family val="3"/>
            <charset val="134"/>
          </rPr>
          <t>、</t>
        </r>
        <r>
          <rPr>
            <sz val="9"/>
            <color indexed="81"/>
            <rFont val="Tahoma"/>
            <family val="2"/>
          </rPr>
          <t>120m</t>
        </r>
        <r>
          <rPr>
            <sz val="9"/>
            <color indexed="81"/>
            <rFont val="宋体"/>
            <family val="3"/>
            <charset val="134"/>
          </rPr>
          <t>，出口内径多为</t>
        </r>
        <r>
          <rPr>
            <sz val="9"/>
            <color indexed="81"/>
            <rFont val="Tahoma"/>
            <family val="2"/>
          </rPr>
          <t>2.5m</t>
        </r>
        <r>
          <rPr>
            <sz val="9"/>
            <color indexed="81"/>
            <rFont val="宋体"/>
            <family val="3"/>
            <charset val="134"/>
          </rPr>
          <t>、</t>
        </r>
        <r>
          <rPr>
            <sz val="9"/>
            <color indexed="81"/>
            <rFont val="Tahoma"/>
            <family val="2"/>
          </rPr>
          <t>3.5m</t>
        </r>
        <r>
          <rPr>
            <sz val="9"/>
            <color indexed="81"/>
            <rFont val="宋体"/>
            <family val="3"/>
            <charset val="134"/>
          </rPr>
          <t>。</t>
        </r>
      </text>
    </comment>
  </commentList>
</comments>
</file>

<file path=xl/comments5.xml><?xml version="1.0" encoding="utf-8"?>
<comments xmlns="http://schemas.openxmlformats.org/spreadsheetml/2006/main">
  <authors>
    <author>作者</author>
  </authors>
  <commentList>
    <comment ref="G3" authorId="0">
      <text>
        <r>
          <rPr>
            <b/>
            <sz val="9"/>
            <color indexed="81"/>
            <rFont val="宋体"/>
            <family val="3"/>
            <charset val="134"/>
          </rPr>
          <t>注</t>
        </r>
        <r>
          <rPr>
            <b/>
            <sz val="9"/>
            <color indexed="81"/>
            <rFont val="Tahoma"/>
            <family val="2"/>
          </rPr>
          <t>:</t>
        </r>
        <r>
          <rPr>
            <sz val="9"/>
            <color indexed="81"/>
            <rFont val="Tahoma"/>
            <family val="2"/>
          </rPr>
          <t xml:space="preserve">
</t>
        </r>
        <r>
          <rPr>
            <sz val="9"/>
            <color indexed="81"/>
            <rFont val="宋体"/>
            <family val="3"/>
            <charset val="134"/>
          </rPr>
          <t>若需求调研表中无当地历年平均气压数据，则按该公式计算大气压。</t>
        </r>
      </text>
    </comment>
    <comment ref="G60" authorId="0">
      <text>
        <r>
          <rPr>
            <b/>
            <sz val="9"/>
            <color indexed="81"/>
            <rFont val="宋体"/>
            <family val="3"/>
            <charset val="134"/>
          </rPr>
          <t>注</t>
        </r>
        <r>
          <rPr>
            <b/>
            <sz val="9"/>
            <color indexed="81"/>
            <rFont val="Tahoma"/>
            <family val="2"/>
          </rPr>
          <t>:</t>
        </r>
        <r>
          <rPr>
            <sz val="9"/>
            <color indexed="81"/>
            <rFont val="Tahoma"/>
            <family val="2"/>
          </rPr>
          <t xml:space="preserve">
</t>
        </r>
        <r>
          <rPr>
            <sz val="9"/>
            <color indexed="81"/>
            <rFont val="宋体"/>
            <family val="3"/>
            <charset val="134"/>
          </rPr>
          <t>引风机配置</t>
        </r>
        <r>
          <rPr>
            <sz val="9"/>
            <color indexed="81"/>
            <rFont val="Tahoma"/>
            <family val="2"/>
          </rPr>
          <t>2</t>
        </r>
        <r>
          <rPr>
            <sz val="9"/>
            <color indexed="81"/>
            <rFont val="宋体"/>
            <family val="3"/>
            <charset val="134"/>
          </rPr>
          <t>台，便于烟风负荷调节。</t>
        </r>
      </text>
    </comment>
  </commentList>
</comments>
</file>

<file path=xl/comments6.xml><?xml version="1.0" encoding="utf-8"?>
<comments xmlns="http://schemas.openxmlformats.org/spreadsheetml/2006/main">
  <authors>
    <author>作者</author>
  </authors>
  <commentList>
    <comment ref="B13" authorId="0">
      <text>
        <r>
          <rPr>
            <b/>
            <sz val="9"/>
            <color indexed="81"/>
            <rFont val="宋体"/>
            <family val="3"/>
            <charset val="134"/>
          </rPr>
          <t>注</t>
        </r>
        <r>
          <rPr>
            <b/>
            <sz val="9"/>
            <color indexed="81"/>
            <rFont val="Tahoma"/>
            <family val="2"/>
          </rPr>
          <t>:</t>
        </r>
        <r>
          <rPr>
            <sz val="9"/>
            <color indexed="81"/>
            <rFont val="Tahoma"/>
            <family val="2"/>
          </rPr>
          <t xml:space="preserve">
</t>
        </r>
        <r>
          <rPr>
            <sz val="9"/>
            <color indexed="81"/>
            <rFont val="宋体"/>
            <family val="3"/>
            <charset val="134"/>
          </rPr>
          <t>根据《秸秆发电厂设计规范》可知，启动锅炉应根据工程具体情况确定是否设置，对于扩建电厂，宜采用原有机组的辅助蒸汽作为启动汽源，不设启动锅炉。</t>
        </r>
      </text>
    </comment>
    <comment ref="D15" authorId="0">
      <text>
        <r>
          <rPr>
            <b/>
            <sz val="9"/>
            <color indexed="81"/>
            <rFont val="宋体"/>
            <family val="3"/>
            <charset val="134"/>
          </rPr>
          <t>注</t>
        </r>
        <r>
          <rPr>
            <b/>
            <sz val="9"/>
            <color indexed="81"/>
            <rFont val="Tahoma"/>
            <family val="2"/>
          </rPr>
          <t>:</t>
        </r>
        <r>
          <rPr>
            <sz val="9"/>
            <color indexed="81"/>
            <rFont val="Tahoma"/>
            <family val="2"/>
          </rPr>
          <t xml:space="preserve">
</t>
        </r>
        <r>
          <rPr>
            <sz val="9"/>
            <color indexed="81"/>
            <rFont val="宋体"/>
            <family val="3"/>
            <charset val="134"/>
          </rPr>
          <t>根据《秸秆发电厂设计规范》可知，启动锅炉的容量应只考虑启动中必须的蒸汽量，不考虑裕量、汽轮机冲转调试用汽量、可暂时停用的施工用汽量及非启动用的其它用汽量，其容量宜为</t>
        </r>
        <r>
          <rPr>
            <sz val="9"/>
            <color indexed="81"/>
            <rFont val="Tahoma"/>
            <family val="2"/>
          </rPr>
          <t>2~6t/h</t>
        </r>
        <r>
          <rPr>
            <sz val="9"/>
            <color indexed="81"/>
            <rFont val="宋体"/>
            <family val="3"/>
            <charset val="134"/>
          </rPr>
          <t>。在采暖区，同时考虑冬季全厂停电取暖时，启动锅炉容量可根据情况适当放大。</t>
        </r>
      </text>
    </comment>
    <comment ref="F25" authorId="0">
      <text>
        <r>
          <rPr>
            <b/>
            <sz val="9"/>
            <color indexed="81"/>
            <rFont val="宋体"/>
            <family val="3"/>
            <charset val="134"/>
          </rPr>
          <t>注</t>
        </r>
        <r>
          <rPr>
            <b/>
            <sz val="9"/>
            <color indexed="81"/>
            <rFont val="Tahoma"/>
            <family val="2"/>
          </rPr>
          <t>:</t>
        </r>
        <r>
          <rPr>
            <sz val="9"/>
            <color indexed="81"/>
            <rFont val="Tahoma"/>
            <family val="2"/>
          </rPr>
          <t xml:space="preserve">
</t>
        </r>
        <r>
          <rPr>
            <sz val="9"/>
            <color indexed="81"/>
            <rFont val="宋体"/>
            <family val="3"/>
            <charset val="134"/>
          </rPr>
          <t>（</t>
        </r>
        <r>
          <rPr>
            <sz val="9"/>
            <color indexed="81"/>
            <rFont val="Tahoma"/>
            <family val="2"/>
          </rPr>
          <t>1</t>
        </r>
        <r>
          <rPr>
            <sz val="9"/>
            <color indexed="81"/>
            <rFont val="宋体"/>
            <family val="3"/>
            <charset val="134"/>
          </rPr>
          <t>）生物质发电项目：不对外供汽，所以外供汽损失取</t>
        </r>
        <r>
          <rPr>
            <sz val="9"/>
            <color indexed="81"/>
            <rFont val="Tahoma"/>
            <family val="2"/>
          </rPr>
          <t>0</t>
        </r>
        <r>
          <rPr>
            <sz val="9"/>
            <color indexed="81"/>
            <rFont val="宋体"/>
            <family val="3"/>
            <charset val="134"/>
          </rPr>
          <t>；</t>
        </r>
        <r>
          <rPr>
            <sz val="9"/>
            <color indexed="81"/>
            <rFont val="Tahoma"/>
            <family val="2"/>
          </rPr>
          <t xml:space="preserve">                                            </t>
        </r>
        <r>
          <rPr>
            <sz val="9"/>
            <color indexed="81"/>
            <rFont val="宋体"/>
            <family val="3"/>
            <charset val="134"/>
          </rPr>
          <t>（</t>
        </r>
        <r>
          <rPr>
            <sz val="9"/>
            <color indexed="81"/>
            <rFont val="Tahoma"/>
            <family val="2"/>
          </rPr>
          <t>2</t>
        </r>
        <r>
          <rPr>
            <sz val="9"/>
            <color indexed="81"/>
            <rFont val="宋体"/>
            <family val="3"/>
            <charset val="134"/>
          </rPr>
          <t>）生物质热电联产项目：对外供汽，外供汽损失主要取决于凝结水回水率η</t>
        </r>
        <r>
          <rPr>
            <sz val="9"/>
            <color indexed="81"/>
            <rFont val="Tahoma"/>
            <family val="2"/>
          </rPr>
          <t>hs</t>
        </r>
        <r>
          <rPr>
            <sz val="9"/>
            <color indexed="81"/>
            <rFont val="宋体"/>
            <family val="3"/>
            <charset val="134"/>
          </rPr>
          <t>的大小，若外供汽由于直接参与换热，凝结水水质较差，不考虑回收，则外供汽损失即为外供汽量。</t>
        </r>
      </text>
    </comment>
  </commentList>
</comments>
</file>

<file path=xl/sharedStrings.xml><?xml version="1.0" encoding="utf-8"?>
<sst xmlns="http://schemas.openxmlformats.org/spreadsheetml/2006/main" count="3273" uniqueCount="1771">
  <si>
    <t>检测项目</t>
    <phoneticPr fontId="1" type="noConversion"/>
  </si>
  <si>
    <t>表示符号</t>
    <phoneticPr fontId="1" type="noConversion"/>
  </si>
  <si>
    <t>计量单位</t>
    <phoneticPr fontId="1" type="noConversion"/>
  </si>
  <si>
    <t>检测结果</t>
    <phoneticPr fontId="1" type="noConversion"/>
  </si>
  <si>
    <t>收到基碳含量</t>
    <phoneticPr fontId="1" type="noConversion"/>
  </si>
  <si>
    <t>收到基氢含量</t>
    <phoneticPr fontId="1" type="noConversion"/>
  </si>
  <si>
    <t>收到基氧含量</t>
    <phoneticPr fontId="1" type="noConversion"/>
  </si>
  <si>
    <t>收到基氮含量</t>
    <phoneticPr fontId="1" type="noConversion"/>
  </si>
  <si>
    <t>收到基硫含量</t>
    <phoneticPr fontId="1" type="noConversion"/>
  </si>
  <si>
    <t>收到基灰分</t>
    <phoneticPr fontId="1" type="noConversion"/>
  </si>
  <si>
    <t>收到基低位发热量</t>
    <phoneticPr fontId="1" type="noConversion"/>
  </si>
  <si>
    <t>Car</t>
    <phoneticPr fontId="1" type="noConversion"/>
  </si>
  <si>
    <t>Har</t>
    <phoneticPr fontId="1" type="noConversion"/>
  </si>
  <si>
    <t>Oar</t>
    <phoneticPr fontId="1" type="noConversion"/>
  </si>
  <si>
    <t>Nar</t>
    <phoneticPr fontId="1" type="noConversion"/>
  </si>
  <si>
    <t>Sar</t>
    <phoneticPr fontId="1" type="noConversion"/>
  </si>
  <si>
    <t>Aar</t>
    <phoneticPr fontId="1" type="noConversion"/>
  </si>
  <si>
    <t>Mar</t>
    <phoneticPr fontId="1" type="noConversion"/>
  </si>
  <si>
    <t>%</t>
    <phoneticPr fontId="1" type="noConversion"/>
  </si>
  <si>
    <t>Qnet.Ar</t>
    <phoneticPr fontId="1" type="noConversion"/>
  </si>
  <si>
    <t>Kj/kg</t>
    <phoneticPr fontId="1" type="noConversion"/>
  </si>
  <si>
    <t>Qnet.ar=339xCar+1030*Har-25xMar-109(Oar-Sar)</t>
  </si>
  <si>
    <t>Kcal/kg</t>
    <phoneticPr fontId="1" type="noConversion"/>
  </si>
  <si>
    <t>总和</t>
    <phoneticPr fontId="1" type="noConversion"/>
  </si>
  <si>
    <t>低位发热量估算</t>
    <phoneticPr fontId="1" type="noConversion"/>
  </si>
  <si>
    <t>高位发热量估算</t>
    <phoneticPr fontId="1" type="noConversion"/>
  </si>
  <si>
    <t>Qar.gt</t>
    <phoneticPr fontId="1" type="noConversion"/>
  </si>
  <si>
    <t>一</t>
    <phoneticPr fontId="1" type="noConversion"/>
  </si>
  <si>
    <t>分项</t>
    <phoneticPr fontId="1" type="noConversion"/>
  </si>
  <si>
    <t>（1）</t>
    <phoneticPr fontId="1" type="noConversion"/>
  </si>
  <si>
    <t>（2）</t>
  </si>
  <si>
    <t>（3）</t>
  </si>
  <si>
    <t>（4）</t>
  </si>
  <si>
    <t>（5）</t>
  </si>
  <si>
    <t>（6）</t>
  </si>
  <si>
    <t>（7）</t>
  </si>
  <si>
    <t>（8）</t>
  </si>
  <si>
    <t>（9）</t>
  </si>
  <si>
    <t>（10）</t>
  </si>
  <si>
    <t>（11）</t>
  </si>
  <si>
    <t>二</t>
    <phoneticPr fontId="1" type="noConversion"/>
  </si>
  <si>
    <t>公式及计算</t>
    <phoneticPr fontId="1" type="noConversion"/>
  </si>
  <si>
    <t>KJ=4.1868*Kcal</t>
    <phoneticPr fontId="1" type="noConversion"/>
  </si>
  <si>
    <t>Qnet.gt=339xCar+1256*Har-109(Oar-Sar)</t>
    <phoneticPr fontId="1" type="noConversion"/>
  </si>
  <si>
    <t>Dgr</t>
    <phoneticPr fontId="1" type="noConversion"/>
  </si>
  <si>
    <t>t/h</t>
    <phoneticPr fontId="1" type="noConversion"/>
  </si>
  <si>
    <t>锅炉厂资料</t>
  </si>
  <si>
    <t>锅炉厂资料</t>
    <phoneticPr fontId="1" type="noConversion"/>
  </si>
  <si>
    <t>（12）</t>
  </si>
  <si>
    <t>（13）</t>
  </si>
  <si>
    <t>（14）</t>
  </si>
  <si>
    <t>（15）</t>
  </si>
  <si>
    <t>（16）</t>
  </si>
  <si>
    <t>（17）</t>
  </si>
  <si>
    <t>（18）</t>
  </si>
  <si>
    <t>（19）</t>
  </si>
  <si>
    <t>（20）</t>
  </si>
  <si>
    <t>（21）</t>
  </si>
  <si>
    <t>过热蒸汽出口压力</t>
    <phoneticPr fontId="1" type="noConversion"/>
  </si>
  <si>
    <t>Pgr</t>
    <phoneticPr fontId="1" type="noConversion"/>
  </si>
  <si>
    <t>Mpa（g）</t>
    <phoneticPr fontId="1" type="noConversion"/>
  </si>
  <si>
    <t>过热蒸汽温度</t>
    <phoneticPr fontId="1" type="noConversion"/>
  </si>
  <si>
    <t>Tgr</t>
    <phoneticPr fontId="1" type="noConversion"/>
  </si>
  <si>
    <t>℃</t>
    <phoneticPr fontId="1" type="noConversion"/>
  </si>
  <si>
    <t>锅筒压力</t>
    <phoneticPr fontId="1" type="noConversion"/>
  </si>
  <si>
    <t>给水温度</t>
    <phoneticPr fontId="1" type="noConversion"/>
  </si>
  <si>
    <t>锅炉效率</t>
    <phoneticPr fontId="1" type="noConversion"/>
  </si>
  <si>
    <t>机械未燃烧损失</t>
    <phoneticPr fontId="1" type="noConversion"/>
  </si>
  <si>
    <t>过热蒸汽焓值</t>
    <phoneticPr fontId="1" type="noConversion"/>
  </si>
  <si>
    <t>锅炉排污率</t>
    <phoneticPr fontId="1" type="noConversion"/>
  </si>
  <si>
    <t>Igr</t>
    <phoneticPr fontId="1" type="noConversion"/>
  </si>
  <si>
    <t>Kj/kg</t>
    <phoneticPr fontId="1" type="noConversion"/>
  </si>
  <si>
    <t>查表</t>
    <phoneticPr fontId="1" type="noConversion"/>
  </si>
  <si>
    <t>Ibs</t>
    <phoneticPr fontId="1" type="noConversion"/>
  </si>
  <si>
    <t>锅炉厂资料-----过热蒸汽压力*1.1</t>
    <phoneticPr fontId="1" type="noConversion"/>
  </si>
  <si>
    <t>Tgs</t>
    <phoneticPr fontId="1" type="noConversion"/>
  </si>
  <si>
    <t>%</t>
    <phoneticPr fontId="1" type="noConversion"/>
  </si>
  <si>
    <t>q4</t>
    <phoneticPr fontId="1" type="noConversion"/>
  </si>
  <si>
    <t>锅炉燃料消耗量</t>
    <phoneticPr fontId="1" type="noConversion"/>
  </si>
  <si>
    <t>Bg</t>
    <phoneticPr fontId="1" type="noConversion"/>
  </si>
  <si>
    <t>kg/h</t>
    <phoneticPr fontId="1" type="noConversion"/>
  </si>
  <si>
    <t>给水焓值</t>
    <phoneticPr fontId="1" type="noConversion"/>
  </si>
  <si>
    <t>Igs</t>
    <phoneticPr fontId="1" type="noConversion"/>
  </si>
  <si>
    <t>ηpw</t>
    <phoneticPr fontId="1" type="noConversion"/>
  </si>
  <si>
    <t>计算燃料消耗量</t>
    <phoneticPr fontId="1" type="noConversion"/>
  </si>
  <si>
    <t>Bj</t>
    <phoneticPr fontId="1" type="noConversion"/>
  </si>
  <si>
    <t>Bg*（1-q4）</t>
    <phoneticPr fontId="1" type="noConversion"/>
  </si>
  <si>
    <t>烟风系统</t>
    <phoneticPr fontId="1" type="noConversion"/>
  </si>
  <si>
    <t>输煤系统</t>
    <phoneticPr fontId="1" type="noConversion"/>
  </si>
  <si>
    <t>燃料耗量</t>
    <phoneticPr fontId="1" type="noConversion"/>
  </si>
  <si>
    <t>三</t>
    <phoneticPr fontId="1" type="noConversion"/>
  </si>
  <si>
    <t>灰渣量</t>
    <phoneticPr fontId="1" type="noConversion"/>
  </si>
  <si>
    <t>灰渣总量</t>
    <phoneticPr fontId="1" type="noConversion"/>
  </si>
  <si>
    <t>（1）</t>
    <phoneticPr fontId="1" type="noConversion"/>
  </si>
  <si>
    <t>Gzhb</t>
    <phoneticPr fontId="1" type="noConversion"/>
  </si>
  <si>
    <t>飞灰份额</t>
    <phoneticPr fontId="1" type="noConversion"/>
  </si>
  <si>
    <t>底渣份额</t>
    <phoneticPr fontId="1" type="noConversion"/>
  </si>
  <si>
    <t>1-k1</t>
    <phoneticPr fontId="1" type="noConversion"/>
  </si>
  <si>
    <t>灰量</t>
    <phoneticPr fontId="1" type="noConversion"/>
  </si>
  <si>
    <t>渣量</t>
    <phoneticPr fontId="1" type="noConversion"/>
  </si>
  <si>
    <t>Gh</t>
    <phoneticPr fontId="1" type="noConversion"/>
  </si>
  <si>
    <t>Gznb*k1</t>
    <phoneticPr fontId="1" type="noConversion"/>
  </si>
  <si>
    <t>Gznb*k2</t>
  </si>
  <si>
    <t>四</t>
    <phoneticPr fontId="1" type="noConversion"/>
  </si>
  <si>
    <r>
      <t>Nm</t>
    </r>
    <r>
      <rPr>
        <vertAlign val="superscript"/>
        <sz val="12"/>
        <rFont val="宋体"/>
        <family val="3"/>
        <charset val="134"/>
      </rPr>
      <t>3</t>
    </r>
    <r>
      <rPr>
        <sz val="12"/>
        <rFont val="宋体"/>
        <family val="3"/>
        <charset val="134"/>
      </rPr>
      <t>/kg</t>
    </r>
    <phoneticPr fontId="1" type="noConversion"/>
  </si>
  <si>
    <r>
      <t>α</t>
    </r>
    <r>
      <rPr>
        <vertAlign val="subscript"/>
        <sz val="12"/>
        <rFont val="宋体"/>
        <family val="3"/>
        <charset val="134"/>
      </rPr>
      <t>ky</t>
    </r>
  </si>
  <si>
    <r>
      <t>Δα</t>
    </r>
    <r>
      <rPr>
        <vertAlign val="subscript"/>
        <sz val="12"/>
        <rFont val="宋体"/>
        <family val="3"/>
        <charset val="134"/>
      </rPr>
      <t>cj</t>
    </r>
  </si>
  <si>
    <r>
      <t>L(</t>
    </r>
    <r>
      <rPr>
        <sz val="12"/>
        <rFont val="宋体"/>
        <family val="3"/>
        <charset val="134"/>
      </rPr>
      <t>烟道长度</t>
    </r>
    <r>
      <rPr>
        <sz val="12"/>
        <rFont val="Times New Roman"/>
        <family val="1"/>
      </rPr>
      <t>)*0.001</t>
    </r>
  </si>
  <si>
    <r>
      <t>α</t>
    </r>
    <r>
      <rPr>
        <vertAlign val="subscript"/>
        <sz val="12"/>
        <rFont val="宋体"/>
        <family val="3"/>
        <charset val="134"/>
      </rPr>
      <t>cj</t>
    </r>
  </si>
  <si>
    <r>
      <t>α</t>
    </r>
    <r>
      <rPr>
        <vertAlign val="subscript"/>
        <sz val="12"/>
        <rFont val="宋体"/>
        <family val="3"/>
        <charset val="134"/>
      </rPr>
      <t>ky</t>
    </r>
    <r>
      <rPr>
        <sz val="12"/>
        <rFont val="宋体"/>
        <family val="3"/>
        <charset val="134"/>
      </rPr>
      <t>+Δα</t>
    </r>
    <r>
      <rPr>
        <vertAlign val="subscript"/>
        <sz val="12"/>
        <rFont val="宋体"/>
        <family val="3"/>
        <charset val="134"/>
      </rPr>
      <t>cj</t>
    </r>
  </si>
  <si>
    <r>
      <t>Δα</t>
    </r>
    <r>
      <rPr>
        <vertAlign val="subscript"/>
        <sz val="12"/>
        <rFont val="宋体"/>
        <family val="3"/>
        <charset val="134"/>
      </rPr>
      <t>cc</t>
    </r>
  </si>
  <si>
    <t>厂家资料</t>
  </si>
  <si>
    <r>
      <t>α</t>
    </r>
    <r>
      <rPr>
        <vertAlign val="subscript"/>
        <sz val="12"/>
        <rFont val="宋体"/>
        <family val="3"/>
        <charset val="134"/>
      </rPr>
      <t>cc</t>
    </r>
  </si>
  <si>
    <r>
      <t>α</t>
    </r>
    <r>
      <rPr>
        <vertAlign val="subscript"/>
        <sz val="12"/>
        <rFont val="宋体"/>
        <family val="3"/>
        <charset val="134"/>
      </rPr>
      <t>xf</t>
    </r>
  </si>
  <si>
    <r>
      <t>V</t>
    </r>
    <r>
      <rPr>
        <vertAlign val="superscript"/>
        <sz val="12"/>
        <rFont val="宋体"/>
        <family val="3"/>
        <charset val="134"/>
      </rPr>
      <t>o</t>
    </r>
    <phoneticPr fontId="1" type="noConversion"/>
  </si>
  <si>
    <t>理论干空气量</t>
    <phoneticPr fontId="1" type="noConversion"/>
  </si>
  <si>
    <t>理论氮气容积</t>
    <phoneticPr fontId="1" type="noConversion"/>
  </si>
  <si>
    <t>V1N2</t>
    <phoneticPr fontId="1" type="noConversion"/>
  </si>
  <si>
    <t>理论二氧化物容积</t>
    <phoneticPr fontId="1" type="noConversion"/>
  </si>
  <si>
    <t>理论水蒸汽容积</t>
    <phoneticPr fontId="1" type="noConversion"/>
  </si>
  <si>
    <r>
      <t>V</t>
    </r>
    <r>
      <rPr>
        <vertAlign val="superscript"/>
        <sz val="12"/>
        <rFont val="宋体"/>
        <family val="3"/>
        <charset val="134"/>
      </rPr>
      <t>o</t>
    </r>
    <r>
      <rPr>
        <sz val="12"/>
        <rFont val="宋体"/>
        <family val="3"/>
        <charset val="134"/>
      </rPr>
      <t>RO</t>
    </r>
    <r>
      <rPr>
        <vertAlign val="subscript"/>
        <sz val="12"/>
        <rFont val="宋体"/>
        <family val="3"/>
        <charset val="134"/>
      </rPr>
      <t>2</t>
    </r>
  </si>
  <si>
    <r>
      <t>V</t>
    </r>
    <r>
      <rPr>
        <vertAlign val="superscript"/>
        <sz val="12"/>
        <rFont val="宋体"/>
        <family val="3"/>
        <charset val="134"/>
      </rPr>
      <t>o</t>
    </r>
    <r>
      <rPr>
        <sz val="12"/>
        <rFont val="宋体"/>
        <family val="3"/>
        <charset val="134"/>
      </rPr>
      <t>H</t>
    </r>
    <r>
      <rPr>
        <vertAlign val="subscript"/>
        <sz val="12"/>
        <rFont val="宋体"/>
        <family val="3"/>
        <charset val="134"/>
      </rPr>
      <t>2</t>
    </r>
    <r>
      <rPr>
        <sz val="12"/>
        <rFont val="宋体"/>
        <family val="3"/>
        <charset val="134"/>
      </rPr>
      <t>O</t>
    </r>
  </si>
  <si>
    <r>
      <t>Vy</t>
    </r>
    <r>
      <rPr>
        <vertAlign val="superscript"/>
        <sz val="12"/>
        <rFont val="宋体"/>
        <family val="3"/>
        <charset val="134"/>
      </rPr>
      <t>o</t>
    </r>
  </si>
  <si>
    <t>0.79Vo+0.008*Nar</t>
  </si>
  <si>
    <r>
      <t>0.111Har+0.0124Mar+1.293*d*V</t>
    </r>
    <r>
      <rPr>
        <vertAlign val="superscript"/>
        <sz val="12"/>
        <rFont val="宋体"/>
        <family val="3"/>
        <charset val="134"/>
      </rPr>
      <t>o</t>
    </r>
    <r>
      <rPr>
        <sz val="12"/>
        <rFont val="宋体"/>
        <family val="3"/>
        <charset val="134"/>
      </rPr>
      <t>/0.804/1000</t>
    </r>
  </si>
  <si>
    <t>理论烟气容积</t>
    <phoneticPr fontId="1" type="noConversion"/>
  </si>
  <si>
    <t>（22）</t>
  </si>
  <si>
    <t>（23）</t>
  </si>
  <si>
    <t>（24）</t>
  </si>
  <si>
    <t>（25）</t>
  </si>
  <si>
    <t>1、工况--标况</t>
    <phoneticPr fontId="14" type="noConversion"/>
  </si>
  <si>
    <t>烟</t>
    <phoneticPr fontId="14" type="noConversion"/>
  </si>
  <si>
    <t>〔1〕</t>
  </si>
  <si>
    <t>工况温度</t>
    <phoneticPr fontId="14" type="noConversion"/>
  </si>
  <si>
    <t>℃</t>
    <phoneticPr fontId="14" type="noConversion"/>
  </si>
  <si>
    <t>t</t>
    <phoneticPr fontId="14" type="noConversion"/>
  </si>
  <si>
    <t>〔2〕</t>
  </si>
  <si>
    <t>工况流量</t>
    <phoneticPr fontId="14" type="noConversion"/>
  </si>
  <si>
    <t>m³/h</t>
    <phoneticPr fontId="14" type="noConversion"/>
  </si>
  <si>
    <r>
      <t>q</t>
    </r>
    <r>
      <rPr>
        <vertAlign val="subscript"/>
        <sz val="12"/>
        <rFont val="宋体"/>
        <family val="3"/>
        <charset val="134"/>
      </rPr>
      <t>v</t>
    </r>
    <phoneticPr fontId="14" type="noConversion"/>
  </si>
  <si>
    <t>〔3〕</t>
  </si>
  <si>
    <t>当地大气压</t>
    <phoneticPr fontId="14" type="noConversion"/>
  </si>
  <si>
    <r>
      <t>p</t>
    </r>
    <r>
      <rPr>
        <vertAlign val="subscript"/>
        <sz val="12"/>
        <rFont val="宋体"/>
        <family val="3"/>
        <charset val="134"/>
      </rPr>
      <t>a</t>
    </r>
    <phoneticPr fontId="14" type="noConversion"/>
  </si>
  <si>
    <t>p</t>
    <phoneticPr fontId="14" type="noConversion"/>
  </si>
  <si>
    <t>〔4〕</t>
  </si>
  <si>
    <t>标况温度</t>
    <phoneticPr fontId="14" type="noConversion"/>
  </si>
  <si>
    <t>℃</t>
    <phoneticPr fontId="14" type="noConversion"/>
  </si>
  <si>
    <r>
      <t>t</t>
    </r>
    <r>
      <rPr>
        <vertAlign val="subscript"/>
        <sz val="12"/>
        <rFont val="宋体"/>
        <family val="3"/>
        <charset val="134"/>
      </rPr>
      <t>0</t>
    </r>
    <phoneticPr fontId="14" type="noConversion"/>
  </si>
  <si>
    <t>〔5〕</t>
  </si>
  <si>
    <t>标况压力</t>
    <phoneticPr fontId="14" type="noConversion"/>
  </si>
  <si>
    <r>
      <t>p</t>
    </r>
    <r>
      <rPr>
        <vertAlign val="subscript"/>
        <sz val="12"/>
        <rFont val="宋体"/>
        <family val="3"/>
        <charset val="134"/>
      </rPr>
      <t>0</t>
    </r>
    <phoneticPr fontId="14" type="noConversion"/>
  </si>
  <si>
    <t>〔6〕</t>
  </si>
  <si>
    <t>标况流量</t>
    <phoneticPr fontId="14" type="noConversion"/>
  </si>
  <si>
    <t>Nm³/h</t>
    <phoneticPr fontId="14" type="noConversion"/>
  </si>
  <si>
    <r>
      <t>q</t>
    </r>
    <r>
      <rPr>
        <vertAlign val="subscript"/>
        <sz val="12"/>
        <rFont val="宋体"/>
        <family val="3"/>
        <charset val="134"/>
      </rPr>
      <t>v0</t>
    </r>
    <phoneticPr fontId="14" type="noConversion"/>
  </si>
  <si>
    <r>
      <t>q</t>
    </r>
    <r>
      <rPr>
        <vertAlign val="subscript"/>
        <sz val="12"/>
        <rFont val="宋体"/>
        <family val="3"/>
        <charset val="134"/>
      </rPr>
      <t>v0</t>
    </r>
    <r>
      <rPr>
        <sz val="12"/>
        <rFont val="宋体"/>
        <family val="3"/>
        <charset val="134"/>
      </rPr>
      <t>=</t>
    </r>
    <r>
      <rPr>
        <sz val="12"/>
        <rFont val="宋体"/>
        <family val="3"/>
        <charset val="134"/>
      </rPr>
      <t>q</t>
    </r>
    <r>
      <rPr>
        <vertAlign val="subscript"/>
        <sz val="12"/>
        <rFont val="宋体"/>
        <family val="3"/>
        <charset val="134"/>
      </rPr>
      <t>v</t>
    </r>
    <r>
      <rPr>
        <sz val="12"/>
        <rFont val="宋体"/>
        <family val="3"/>
        <charset val="134"/>
      </rPr>
      <t>*(p/p</t>
    </r>
    <r>
      <rPr>
        <vertAlign val="subscript"/>
        <sz val="12"/>
        <rFont val="宋体"/>
        <family val="3"/>
        <charset val="134"/>
      </rPr>
      <t>0</t>
    </r>
    <r>
      <rPr>
        <sz val="12"/>
        <rFont val="宋体"/>
        <family val="3"/>
        <charset val="134"/>
      </rPr>
      <t>)*((t</t>
    </r>
    <r>
      <rPr>
        <vertAlign val="subscript"/>
        <sz val="12"/>
        <rFont val="宋体"/>
        <family val="3"/>
        <charset val="134"/>
      </rPr>
      <t>0</t>
    </r>
    <r>
      <rPr>
        <sz val="12"/>
        <rFont val="宋体"/>
        <family val="3"/>
        <charset val="134"/>
      </rPr>
      <t>+273)</t>
    </r>
    <r>
      <rPr>
        <sz val="12"/>
        <rFont val="宋体"/>
        <family val="3"/>
        <charset val="134"/>
      </rPr>
      <t>/(t+273))</t>
    </r>
    <phoneticPr fontId="14" type="noConversion"/>
  </si>
  <si>
    <t>2、标况--工况</t>
    <phoneticPr fontId="14" type="noConversion"/>
  </si>
  <si>
    <t>标况温度</t>
    <phoneticPr fontId="14" type="noConversion"/>
  </si>
  <si>
    <t>℃</t>
    <phoneticPr fontId="14" type="noConversion"/>
  </si>
  <si>
    <r>
      <t>t</t>
    </r>
    <r>
      <rPr>
        <vertAlign val="subscript"/>
        <sz val="12"/>
        <rFont val="宋体"/>
        <family val="3"/>
        <charset val="134"/>
      </rPr>
      <t>0</t>
    </r>
    <phoneticPr fontId="14" type="noConversion"/>
  </si>
  <si>
    <t>标况压力</t>
    <phoneticPr fontId="14" type="noConversion"/>
  </si>
  <si>
    <t>pa</t>
    <phoneticPr fontId="14" type="noConversion"/>
  </si>
  <si>
    <r>
      <t>p</t>
    </r>
    <r>
      <rPr>
        <vertAlign val="subscript"/>
        <sz val="12"/>
        <rFont val="宋体"/>
        <family val="3"/>
        <charset val="134"/>
      </rPr>
      <t>0</t>
    </r>
    <phoneticPr fontId="14" type="noConversion"/>
  </si>
  <si>
    <t>标况流量</t>
    <phoneticPr fontId="14" type="noConversion"/>
  </si>
  <si>
    <t>Nm³/h</t>
    <phoneticPr fontId="14" type="noConversion"/>
  </si>
  <si>
    <r>
      <t>q</t>
    </r>
    <r>
      <rPr>
        <vertAlign val="subscript"/>
        <sz val="12"/>
        <rFont val="宋体"/>
        <family val="3"/>
        <charset val="134"/>
      </rPr>
      <t>v0</t>
    </r>
    <phoneticPr fontId="14" type="noConversion"/>
  </si>
  <si>
    <t>工况温度</t>
    <phoneticPr fontId="14" type="noConversion"/>
  </si>
  <si>
    <t>t</t>
    <phoneticPr fontId="14" type="noConversion"/>
  </si>
  <si>
    <t>当地大气压</t>
    <phoneticPr fontId="14" type="noConversion"/>
  </si>
  <si>
    <t>p</t>
    <phoneticPr fontId="14" type="noConversion"/>
  </si>
  <si>
    <t>工况流量</t>
    <phoneticPr fontId="14" type="noConversion"/>
  </si>
  <si>
    <t>m³/h</t>
    <phoneticPr fontId="14" type="noConversion"/>
  </si>
  <si>
    <r>
      <t>q</t>
    </r>
    <r>
      <rPr>
        <vertAlign val="subscript"/>
        <sz val="12"/>
        <rFont val="宋体"/>
        <family val="3"/>
        <charset val="134"/>
      </rPr>
      <t>v</t>
    </r>
    <phoneticPr fontId="14" type="noConversion"/>
  </si>
  <si>
    <r>
      <t>q</t>
    </r>
    <r>
      <rPr>
        <vertAlign val="subscript"/>
        <sz val="12"/>
        <rFont val="宋体"/>
        <family val="3"/>
        <charset val="134"/>
      </rPr>
      <t>v</t>
    </r>
    <r>
      <rPr>
        <sz val="12"/>
        <rFont val="宋体"/>
        <family val="3"/>
        <charset val="134"/>
      </rPr>
      <t>=</t>
    </r>
    <r>
      <rPr>
        <sz val="12"/>
        <rFont val="宋体"/>
        <family val="3"/>
        <charset val="134"/>
      </rPr>
      <t>q</t>
    </r>
    <r>
      <rPr>
        <vertAlign val="subscript"/>
        <sz val="12"/>
        <rFont val="宋体"/>
        <family val="3"/>
        <charset val="134"/>
      </rPr>
      <t>v0</t>
    </r>
    <r>
      <rPr>
        <sz val="12"/>
        <rFont val="宋体"/>
        <family val="3"/>
        <charset val="134"/>
      </rPr>
      <t>*(p</t>
    </r>
    <r>
      <rPr>
        <vertAlign val="subscript"/>
        <sz val="12"/>
        <rFont val="宋体"/>
        <family val="3"/>
        <charset val="134"/>
      </rPr>
      <t>0</t>
    </r>
    <r>
      <rPr>
        <sz val="12"/>
        <rFont val="宋体"/>
        <family val="3"/>
        <charset val="134"/>
      </rPr>
      <t>/p)*((t</t>
    </r>
    <r>
      <rPr>
        <sz val="12"/>
        <rFont val="宋体"/>
        <family val="3"/>
        <charset val="134"/>
      </rPr>
      <t>+273)</t>
    </r>
    <r>
      <rPr>
        <sz val="12"/>
        <rFont val="宋体"/>
        <family val="3"/>
        <charset val="134"/>
      </rPr>
      <t>/(t</t>
    </r>
    <r>
      <rPr>
        <vertAlign val="subscript"/>
        <sz val="12"/>
        <rFont val="宋体"/>
        <family val="3"/>
        <charset val="134"/>
      </rPr>
      <t>0</t>
    </r>
    <r>
      <rPr>
        <sz val="12"/>
        <rFont val="宋体"/>
        <family val="3"/>
        <charset val="134"/>
      </rPr>
      <t>+273))</t>
    </r>
    <phoneticPr fontId="14" type="noConversion"/>
  </si>
  <si>
    <t>名称</t>
    <phoneticPr fontId="14" type="noConversion"/>
  </si>
  <si>
    <t>符号</t>
    <phoneticPr fontId="14" type="noConversion"/>
  </si>
  <si>
    <t>单位</t>
    <phoneticPr fontId="14" type="noConversion"/>
  </si>
  <si>
    <t>计算公式</t>
    <phoneticPr fontId="14" type="noConversion"/>
  </si>
  <si>
    <t>结果</t>
    <phoneticPr fontId="14" type="noConversion"/>
  </si>
  <si>
    <t>t</t>
    <phoneticPr fontId="14" type="noConversion"/>
  </si>
  <si>
    <t>设计值</t>
  </si>
  <si>
    <r>
      <t>p</t>
    </r>
    <r>
      <rPr>
        <vertAlign val="subscript"/>
        <sz val="12"/>
        <rFont val="宋体"/>
        <family val="3"/>
        <charset val="134"/>
      </rPr>
      <t>a</t>
    </r>
    <phoneticPr fontId="14" type="noConversion"/>
  </si>
  <si>
    <t>当地大气压</t>
    <phoneticPr fontId="14" type="noConversion"/>
  </si>
  <si>
    <r>
      <t>p</t>
    </r>
    <r>
      <rPr>
        <vertAlign val="subscript"/>
        <sz val="12"/>
        <rFont val="宋体"/>
        <family val="3"/>
        <charset val="134"/>
      </rPr>
      <t>0</t>
    </r>
    <phoneticPr fontId="14" type="noConversion"/>
  </si>
  <si>
    <t>烟风流量（工况）</t>
    <phoneticPr fontId="14" type="noConversion"/>
  </si>
  <si>
    <t>q</t>
    <phoneticPr fontId="14" type="noConversion"/>
  </si>
  <si>
    <r>
      <t>t</t>
    </r>
    <r>
      <rPr>
        <vertAlign val="subscript"/>
        <sz val="12"/>
        <rFont val="宋体"/>
        <family val="3"/>
        <charset val="134"/>
      </rPr>
      <t>1</t>
    </r>
    <phoneticPr fontId="14" type="noConversion"/>
  </si>
  <si>
    <t>℃</t>
    <phoneticPr fontId="14" type="noConversion"/>
  </si>
  <si>
    <t>〔7〕</t>
  </si>
  <si>
    <t>风机全压</t>
    <phoneticPr fontId="14" type="noConversion"/>
  </si>
  <si>
    <r>
      <t>p</t>
    </r>
    <r>
      <rPr>
        <vertAlign val="subscript"/>
        <sz val="12"/>
        <rFont val="宋体"/>
        <family val="3"/>
        <charset val="134"/>
      </rPr>
      <t>1</t>
    </r>
    <phoneticPr fontId="14" type="noConversion"/>
  </si>
  <si>
    <r>
      <t>p</t>
    </r>
    <r>
      <rPr>
        <vertAlign val="subscript"/>
        <sz val="12"/>
        <rFont val="宋体"/>
        <family val="3"/>
        <charset val="134"/>
      </rPr>
      <t>a</t>
    </r>
    <phoneticPr fontId="14" type="noConversion"/>
  </si>
  <si>
    <r>
      <t>p</t>
    </r>
    <r>
      <rPr>
        <vertAlign val="subscript"/>
        <sz val="12"/>
        <rFont val="宋体"/>
        <family val="3"/>
        <charset val="134"/>
      </rPr>
      <t>1</t>
    </r>
    <r>
      <rPr>
        <sz val="12"/>
        <rFont val="宋体"/>
        <family val="3"/>
        <charset val="134"/>
      </rPr>
      <t>=</t>
    </r>
    <r>
      <rPr>
        <sz val="12"/>
        <rFont val="宋体"/>
        <family val="3"/>
        <charset val="134"/>
      </rPr>
      <t>p*(101325/p</t>
    </r>
    <r>
      <rPr>
        <vertAlign val="subscript"/>
        <sz val="12"/>
        <rFont val="宋体"/>
        <family val="3"/>
        <charset val="134"/>
      </rPr>
      <t>0</t>
    </r>
    <r>
      <rPr>
        <sz val="12"/>
        <rFont val="宋体"/>
        <family val="3"/>
        <charset val="134"/>
      </rPr>
      <t>)</t>
    </r>
    <r>
      <rPr>
        <sz val="12"/>
        <rFont val="宋体"/>
        <family val="3"/>
        <charset val="134"/>
      </rPr>
      <t>*((t+273)/(t</t>
    </r>
    <r>
      <rPr>
        <vertAlign val="subscript"/>
        <sz val="12"/>
        <rFont val="宋体"/>
        <family val="3"/>
        <charset val="134"/>
      </rPr>
      <t>1</t>
    </r>
    <r>
      <rPr>
        <sz val="12"/>
        <rFont val="宋体"/>
        <family val="3"/>
        <charset val="134"/>
      </rPr>
      <t>+273))</t>
    </r>
    <phoneticPr fontId="14" type="noConversion"/>
  </si>
  <si>
    <t>〔8〕</t>
  </si>
  <si>
    <t>风机选用全压</t>
    <phoneticPr fontId="14" type="noConversion"/>
  </si>
  <si>
    <r>
      <t>p</t>
    </r>
    <r>
      <rPr>
        <vertAlign val="subscript"/>
        <sz val="12"/>
        <rFont val="宋体"/>
        <family val="3"/>
        <charset val="134"/>
      </rPr>
      <t>2</t>
    </r>
    <r>
      <rPr>
        <sz val="12"/>
        <rFont val="宋体"/>
        <family val="3"/>
        <charset val="134"/>
      </rPr>
      <t/>
    </r>
  </si>
  <si>
    <t>〔9〕</t>
  </si>
  <si>
    <t>风机选用流量</t>
    <phoneticPr fontId="14" type="noConversion"/>
  </si>
  <si>
    <r>
      <t>q</t>
    </r>
    <r>
      <rPr>
        <vertAlign val="subscript"/>
        <sz val="12"/>
        <rFont val="宋体"/>
        <family val="3"/>
        <charset val="134"/>
      </rPr>
      <t>2</t>
    </r>
    <phoneticPr fontId="14" type="noConversion"/>
  </si>
  <si>
    <t>m³/h</t>
    <phoneticPr fontId="14" type="noConversion"/>
  </si>
  <si>
    <t>〔10〕</t>
  </si>
  <si>
    <t>〔11〕</t>
  </si>
  <si>
    <t>η1</t>
    <phoneticPr fontId="14" type="noConversion"/>
  </si>
  <si>
    <t>〔12〕</t>
  </si>
  <si>
    <t>电动机效率</t>
    <phoneticPr fontId="14" type="noConversion"/>
  </si>
  <si>
    <r>
      <t>η</t>
    </r>
    <r>
      <rPr>
        <vertAlign val="subscript"/>
        <sz val="12"/>
        <rFont val="宋体"/>
        <family val="3"/>
        <charset val="134"/>
      </rPr>
      <t>d</t>
    </r>
    <phoneticPr fontId="14" type="noConversion"/>
  </si>
  <si>
    <t>〔13〕</t>
  </si>
  <si>
    <t>风机轴功率</t>
    <phoneticPr fontId="14" type="noConversion"/>
  </si>
  <si>
    <t>P'</t>
    <phoneticPr fontId="14" type="noConversion"/>
  </si>
  <si>
    <t>kw</t>
    <phoneticPr fontId="14" type="noConversion"/>
  </si>
  <si>
    <r>
      <t>P'=p</t>
    </r>
    <r>
      <rPr>
        <vertAlign val="subscript"/>
        <sz val="12"/>
        <rFont val="宋体"/>
        <family val="3"/>
        <charset val="134"/>
      </rPr>
      <t>2</t>
    </r>
    <r>
      <rPr>
        <sz val="12"/>
        <rFont val="宋体"/>
        <family val="3"/>
        <charset val="134"/>
      </rPr>
      <t>*q</t>
    </r>
    <r>
      <rPr>
        <vertAlign val="subscript"/>
        <sz val="12"/>
        <rFont val="宋体"/>
        <family val="3"/>
        <charset val="134"/>
      </rPr>
      <t>2</t>
    </r>
    <r>
      <rPr>
        <sz val="12"/>
        <rFont val="宋体"/>
        <family val="3"/>
        <charset val="134"/>
      </rPr>
      <t>/η</t>
    </r>
    <phoneticPr fontId="14" type="noConversion"/>
  </si>
  <si>
    <t>〔14〕</t>
  </si>
  <si>
    <t>电机安全裕量</t>
    <phoneticPr fontId="14" type="noConversion"/>
  </si>
  <si>
    <t>K</t>
    <phoneticPr fontId="14" type="noConversion"/>
  </si>
  <si>
    <t>〔15〕</t>
  </si>
  <si>
    <t>〔16〕</t>
  </si>
  <si>
    <t>风机效率</t>
    <phoneticPr fontId="14" type="noConversion"/>
  </si>
  <si>
    <t>电机功率</t>
    <phoneticPr fontId="14" type="noConversion"/>
  </si>
  <si>
    <t>P</t>
    <phoneticPr fontId="14" type="noConversion"/>
  </si>
  <si>
    <r>
      <t>P=K*P'/η</t>
    </r>
    <r>
      <rPr>
        <vertAlign val="subscript"/>
        <sz val="12"/>
        <rFont val="宋体"/>
        <family val="3"/>
        <charset val="134"/>
      </rPr>
      <t>d</t>
    </r>
    <phoneticPr fontId="14" type="noConversion"/>
  </si>
  <si>
    <t>一次风</t>
    <phoneticPr fontId="14" type="noConversion"/>
  </si>
  <si>
    <t>二次风</t>
    <phoneticPr fontId="14" type="noConversion"/>
  </si>
  <si>
    <t>海拔</t>
    <phoneticPr fontId="1" type="noConversion"/>
  </si>
  <si>
    <t>m</t>
    <phoneticPr fontId="1" type="noConversion"/>
  </si>
  <si>
    <t>A</t>
    <phoneticPr fontId="1" type="noConversion"/>
  </si>
  <si>
    <t>大气压</t>
    <phoneticPr fontId="1" type="noConversion"/>
  </si>
  <si>
    <t>pa</t>
    <phoneticPr fontId="1" type="noConversion"/>
  </si>
  <si>
    <t>P</t>
    <phoneticPr fontId="1" type="noConversion"/>
  </si>
  <si>
    <t>海拔大气压换算</t>
    <phoneticPr fontId="14" type="noConversion"/>
  </si>
  <si>
    <t>3、一次风机计算</t>
    <phoneticPr fontId="14" type="noConversion"/>
  </si>
  <si>
    <t>电机功率</t>
    <phoneticPr fontId="14" type="noConversion"/>
  </si>
  <si>
    <t>P</t>
    <phoneticPr fontId="14" type="noConversion"/>
  </si>
  <si>
    <t>kw</t>
    <phoneticPr fontId="14" type="noConversion"/>
  </si>
  <si>
    <r>
      <t>P=K*P'/η</t>
    </r>
    <r>
      <rPr>
        <vertAlign val="subscript"/>
        <sz val="12"/>
        <rFont val="宋体"/>
        <family val="3"/>
        <charset val="134"/>
      </rPr>
      <t>d</t>
    </r>
    <phoneticPr fontId="14" type="noConversion"/>
  </si>
  <si>
    <t>风机效率</t>
    <phoneticPr fontId="14" type="noConversion"/>
  </si>
  <si>
    <t>Bj</t>
    <phoneticPr fontId="14" type="noConversion"/>
  </si>
  <si>
    <t>t/h</t>
    <phoneticPr fontId="14" type="noConversion"/>
  </si>
  <si>
    <t>h</t>
    <phoneticPr fontId="14" type="noConversion"/>
  </si>
  <si>
    <t>Q</t>
    <phoneticPr fontId="14" type="noConversion"/>
  </si>
  <si>
    <t>B</t>
    <phoneticPr fontId="14" type="noConversion"/>
  </si>
  <si>
    <t>t/m³</t>
    <phoneticPr fontId="14" type="noConversion"/>
  </si>
  <si>
    <t>V</t>
    <phoneticPr fontId="14" type="noConversion"/>
  </si>
  <si>
    <t>m³</t>
    <phoneticPr fontId="14" type="noConversion"/>
  </si>
  <si>
    <t>φ</t>
  </si>
  <si>
    <t>%</t>
  </si>
  <si>
    <t>已知</t>
  </si>
  <si>
    <t>Pb</t>
  </si>
  <si>
    <t>kPa</t>
  </si>
  <si>
    <t>t</t>
  </si>
  <si>
    <t>℃</t>
  </si>
  <si>
    <t>Ps</t>
  </si>
  <si>
    <t>查水蒸汽表</t>
  </si>
  <si>
    <t>Pv</t>
  </si>
  <si>
    <t>φ*Ps/100</t>
  </si>
  <si>
    <t>d</t>
  </si>
  <si>
    <r>
      <t>ρ</t>
    </r>
    <r>
      <rPr>
        <vertAlign val="subscript"/>
        <sz val="12"/>
        <rFont val="宋体"/>
        <family val="3"/>
        <charset val="134"/>
      </rPr>
      <t>ao</t>
    </r>
  </si>
  <si>
    <r>
      <t>kg/Nm</t>
    </r>
    <r>
      <rPr>
        <vertAlign val="superscript"/>
        <sz val="12"/>
        <rFont val="宋体"/>
        <family val="3"/>
        <charset val="134"/>
      </rPr>
      <t>3</t>
    </r>
    <r>
      <rPr>
        <sz val="12"/>
        <rFont val="宋体"/>
        <family val="3"/>
        <charset val="134"/>
      </rPr>
      <t>空气</t>
    </r>
  </si>
  <si>
    <r>
      <t>V</t>
    </r>
    <r>
      <rPr>
        <vertAlign val="superscript"/>
        <sz val="12"/>
        <rFont val="宋体"/>
        <family val="3"/>
        <charset val="134"/>
      </rPr>
      <t>o'</t>
    </r>
  </si>
  <si>
    <r>
      <t>Nm</t>
    </r>
    <r>
      <rPr>
        <vertAlign val="superscript"/>
        <sz val="12"/>
        <rFont val="宋体"/>
        <family val="3"/>
        <charset val="134"/>
      </rPr>
      <t>3</t>
    </r>
    <r>
      <rPr>
        <sz val="12"/>
        <rFont val="宋体"/>
        <family val="3"/>
        <charset val="134"/>
      </rPr>
      <t>/kg燃料</t>
    </r>
  </si>
  <si>
    <t>(1+0.0016d)Vo</t>
  </si>
  <si>
    <t>多年平均相对湿度</t>
    <phoneticPr fontId="1" type="noConversion"/>
  </si>
  <si>
    <t>多年平均气压</t>
    <phoneticPr fontId="1" type="noConversion"/>
  </si>
  <si>
    <t>多年平均气温</t>
    <phoneticPr fontId="1" type="noConversion"/>
  </si>
  <si>
    <t>多年平均气温下的饱和压力</t>
    <phoneticPr fontId="1" type="noConversion"/>
  </si>
  <si>
    <t>水蒸气分压力</t>
    <phoneticPr fontId="1" type="noConversion"/>
  </si>
  <si>
    <t>空气的绝对湿度（含湿量）</t>
    <phoneticPr fontId="1" type="noConversion"/>
  </si>
  <si>
    <t>标况下湿空气密度</t>
    <phoneticPr fontId="1" type="noConversion"/>
  </si>
  <si>
    <t>理论湿空气量</t>
    <phoneticPr fontId="1" type="noConversion"/>
  </si>
  <si>
    <t>g水/kg空气</t>
    <phoneticPr fontId="1" type="noConversion"/>
  </si>
  <si>
    <t>理论空气量</t>
    <phoneticPr fontId="1" type="noConversion"/>
  </si>
  <si>
    <t>五</t>
    <phoneticPr fontId="1" type="noConversion"/>
  </si>
  <si>
    <t>理论烟气量</t>
    <phoneticPr fontId="1" type="noConversion"/>
  </si>
  <si>
    <t>1.866(Car+0.375Sar)/100</t>
    <phoneticPr fontId="1" type="noConversion"/>
  </si>
  <si>
    <r>
      <t>Gy</t>
    </r>
    <r>
      <rPr>
        <vertAlign val="superscript"/>
        <sz val="12"/>
        <rFont val="宋体"/>
        <family val="3"/>
        <charset val="134"/>
      </rPr>
      <t>o</t>
    </r>
  </si>
  <si>
    <t>kg/kg燃料</t>
  </si>
  <si>
    <t>1-Aar/100+(1+d/1000)*1.293*α*Vo</t>
  </si>
  <si>
    <r>
      <t>ρy</t>
    </r>
    <r>
      <rPr>
        <vertAlign val="superscript"/>
        <sz val="12"/>
        <rFont val="宋体"/>
        <family val="3"/>
        <charset val="134"/>
      </rPr>
      <t>o</t>
    </r>
  </si>
  <si>
    <r>
      <t>kg/Nm</t>
    </r>
    <r>
      <rPr>
        <vertAlign val="superscript"/>
        <sz val="12"/>
        <rFont val="宋体"/>
        <family val="3"/>
        <charset val="134"/>
      </rPr>
      <t>3</t>
    </r>
  </si>
  <si>
    <r>
      <t>Gy</t>
    </r>
    <r>
      <rPr>
        <vertAlign val="superscript"/>
        <sz val="12"/>
        <rFont val="宋体"/>
        <family val="3"/>
        <charset val="134"/>
      </rPr>
      <t>o</t>
    </r>
    <r>
      <rPr>
        <sz val="12"/>
        <rFont val="宋体"/>
        <family val="3"/>
        <charset val="134"/>
      </rPr>
      <t>/Vy</t>
    </r>
    <r>
      <rPr>
        <vertAlign val="superscript"/>
        <sz val="12"/>
        <rFont val="宋体"/>
        <family val="3"/>
        <charset val="134"/>
      </rPr>
      <t>o</t>
    </r>
  </si>
  <si>
    <t>1kg燃料生成理论湿烟气的重量</t>
    <phoneticPr fontId="1" type="noConversion"/>
  </si>
  <si>
    <t>标况下理论湿烟气密度</t>
    <phoneticPr fontId="1" type="noConversion"/>
  </si>
  <si>
    <t>六</t>
    <phoneticPr fontId="1" type="noConversion"/>
  </si>
  <si>
    <t>空气烟气参数</t>
    <phoneticPr fontId="1" type="noConversion"/>
  </si>
  <si>
    <t>αl</t>
  </si>
  <si>
    <r>
      <t>Δα</t>
    </r>
    <r>
      <rPr>
        <vertAlign val="subscript"/>
        <sz val="12"/>
        <rFont val="宋体"/>
        <family val="3"/>
        <charset val="134"/>
      </rPr>
      <t>fL</t>
    </r>
  </si>
  <si>
    <r>
      <t>α</t>
    </r>
    <r>
      <rPr>
        <vertAlign val="subscript"/>
        <sz val="12"/>
        <rFont val="宋体"/>
        <family val="3"/>
        <charset val="134"/>
      </rPr>
      <t>fL</t>
    </r>
  </si>
  <si>
    <r>
      <t>Δα</t>
    </r>
    <r>
      <rPr>
        <vertAlign val="subscript"/>
        <sz val="12"/>
        <rFont val="宋体"/>
        <family val="3"/>
        <charset val="134"/>
      </rPr>
      <t>gr</t>
    </r>
  </si>
  <si>
    <r>
      <t>α</t>
    </r>
    <r>
      <rPr>
        <vertAlign val="subscript"/>
        <sz val="12"/>
        <rFont val="宋体"/>
        <family val="3"/>
        <charset val="134"/>
      </rPr>
      <t>gr</t>
    </r>
  </si>
  <si>
    <r>
      <t>Δα</t>
    </r>
    <r>
      <rPr>
        <vertAlign val="subscript"/>
        <sz val="12"/>
        <rFont val="宋体"/>
        <family val="3"/>
        <charset val="134"/>
      </rPr>
      <t>dr</t>
    </r>
  </si>
  <si>
    <r>
      <t>α</t>
    </r>
    <r>
      <rPr>
        <vertAlign val="subscript"/>
        <sz val="12"/>
        <rFont val="宋体"/>
        <family val="3"/>
        <charset val="134"/>
      </rPr>
      <t>dr</t>
    </r>
  </si>
  <si>
    <r>
      <t>Δα</t>
    </r>
    <r>
      <rPr>
        <vertAlign val="subscript"/>
        <sz val="12"/>
        <rFont val="宋体"/>
        <family val="3"/>
        <charset val="134"/>
      </rPr>
      <t>sm</t>
    </r>
  </si>
  <si>
    <r>
      <t>α</t>
    </r>
    <r>
      <rPr>
        <vertAlign val="subscript"/>
        <sz val="12"/>
        <rFont val="宋体"/>
        <family val="3"/>
        <charset val="134"/>
      </rPr>
      <t>sm</t>
    </r>
  </si>
  <si>
    <r>
      <t>Δα</t>
    </r>
    <r>
      <rPr>
        <vertAlign val="subscript"/>
        <sz val="12"/>
        <rFont val="宋体"/>
        <family val="3"/>
        <charset val="134"/>
      </rPr>
      <t>ky</t>
    </r>
  </si>
  <si>
    <r>
      <t>α</t>
    </r>
    <r>
      <rPr>
        <vertAlign val="subscript"/>
        <sz val="12"/>
        <rFont val="宋体"/>
        <family val="3"/>
        <charset val="134"/>
      </rPr>
      <t>ky</t>
    </r>
  </si>
  <si>
    <r>
      <t>Δα</t>
    </r>
    <r>
      <rPr>
        <vertAlign val="subscript"/>
        <sz val="12"/>
        <rFont val="宋体"/>
        <family val="3"/>
        <charset val="134"/>
      </rPr>
      <t>cj</t>
    </r>
  </si>
  <si>
    <r>
      <t>L(</t>
    </r>
    <r>
      <rPr>
        <sz val="12"/>
        <rFont val="宋体"/>
        <family val="3"/>
        <charset val="134"/>
      </rPr>
      <t>烟道长度</t>
    </r>
    <r>
      <rPr>
        <sz val="12"/>
        <rFont val="Times New Roman"/>
        <family val="1"/>
      </rPr>
      <t>)*0.001</t>
    </r>
  </si>
  <si>
    <r>
      <t>α</t>
    </r>
    <r>
      <rPr>
        <vertAlign val="subscript"/>
        <sz val="12"/>
        <rFont val="宋体"/>
        <family val="3"/>
        <charset val="134"/>
      </rPr>
      <t>cj</t>
    </r>
  </si>
  <si>
    <r>
      <t>α</t>
    </r>
    <r>
      <rPr>
        <vertAlign val="subscript"/>
        <sz val="12"/>
        <rFont val="宋体"/>
        <family val="3"/>
        <charset val="134"/>
      </rPr>
      <t>ky</t>
    </r>
    <r>
      <rPr>
        <sz val="12"/>
        <rFont val="宋体"/>
        <family val="3"/>
        <charset val="134"/>
      </rPr>
      <t>+Δα</t>
    </r>
    <r>
      <rPr>
        <vertAlign val="subscript"/>
        <sz val="12"/>
        <rFont val="宋体"/>
        <family val="3"/>
        <charset val="134"/>
      </rPr>
      <t>cj</t>
    </r>
  </si>
  <si>
    <r>
      <t>Δα</t>
    </r>
    <r>
      <rPr>
        <vertAlign val="subscript"/>
        <sz val="12"/>
        <rFont val="宋体"/>
        <family val="3"/>
        <charset val="134"/>
      </rPr>
      <t>cc</t>
    </r>
  </si>
  <si>
    <r>
      <t>α</t>
    </r>
    <r>
      <rPr>
        <vertAlign val="subscript"/>
        <sz val="12"/>
        <rFont val="宋体"/>
        <family val="3"/>
        <charset val="134"/>
      </rPr>
      <t>cc</t>
    </r>
  </si>
  <si>
    <r>
      <t>α</t>
    </r>
    <r>
      <rPr>
        <vertAlign val="subscript"/>
        <sz val="12"/>
        <rFont val="宋体"/>
        <family val="3"/>
        <charset val="134"/>
      </rPr>
      <t>cj</t>
    </r>
    <r>
      <rPr>
        <sz val="12"/>
        <rFont val="宋体"/>
        <family val="3"/>
        <charset val="134"/>
      </rPr>
      <t>+Δα</t>
    </r>
    <r>
      <rPr>
        <vertAlign val="subscript"/>
        <sz val="12"/>
        <rFont val="宋体"/>
        <family val="3"/>
        <charset val="134"/>
      </rPr>
      <t>cc</t>
    </r>
  </si>
  <si>
    <r>
      <t>Δα</t>
    </r>
    <r>
      <rPr>
        <vertAlign val="subscript"/>
        <sz val="12"/>
        <rFont val="宋体"/>
        <family val="3"/>
        <charset val="134"/>
      </rPr>
      <t>yd2</t>
    </r>
  </si>
  <si>
    <r>
      <t>α</t>
    </r>
    <r>
      <rPr>
        <vertAlign val="subscript"/>
        <sz val="12"/>
        <rFont val="宋体"/>
        <family val="3"/>
        <charset val="134"/>
      </rPr>
      <t>xf</t>
    </r>
  </si>
  <si>
    <r>
      <t>α</t>
    </r>
    <r>
      <rPr>
        <vertAlign val="subscript"/>
        <sz val="12"/>
        <rFont val="宋体"/>
        <family val="3"/>
        <charset val="134"/>
      </rPr>
      <t>cc</t>
    </r>
    <r>
      <rPr>
        <sz val="12"/>
        <rFont val="Times New Roman"/>
        <family val="1"/>
      </rPr>
      <t>+</t>
    </r>
    <r>
      <rPr>
        <sz val="12"/>
        <rFont val="宋体"/>
        <family val="3"/>
        <charset val="134"/>
      </rPr>
      <t>Δα</t>
    </r>
    <r>
      <rPr>
        <vertAlign val="subscript"/>
        <sz val="12"/>
        <rFont val="Times New Roman"/>
        <family val="1"/>
      </rPr>
      <t>yd2</t>
    </r>
  </si>
  <si>
    <t>Vy</t>
  </si>
  <si>
    <r>
      <t>Nm</t>
    </r>
    <r>
      <rPr>
        <vertAlign val="superscript"/>
        <sz val="12"/>
        <rFont val="宋体"/>
        <family val="3"/>
        <charset val="134"/>
      </rPr>
      <t>3</t>
    </r>
    <r>
      <rPr>
        <sz val="12"/>
        <rFont val="宋体"/>
        <family val="3"/>
        <charset val="134"/>
      </rPr>
      <t>/kg</t>
    </r>
  </si>
  <si>
    <r>
      <t>Vy</t>
    </r>
    <r>
      <rPr>
        <vertAlign val="superscript"/>
        <sz val="12"/>
        <rFont val="宋体"/>
        <family val="3"/>
        <charset val="134"/>
      </rPr>
      <t>o</t>
    </r>
    <r>
      <rPr>
        <sz val="12"/>
        <rFont val="宋体"/>
        <family val="3"/>
        <charset val="134"/>
      </rPr>
      <t>+(αky-1)V</t>
    </r>
    <r>
      <rPr>
        <vertAlign val="superscript"/>
        <sz val="12"/>
        <rFont val="宋体"/>
        <family val="3"/>
        <charset val="134"/>
      </rPr>
      <t>o</t>
    </r>
    <r>
      <rPr>
        <sz val="12"/>
        <rFont val="宋体"/>
        <family val="3"/>
        <charset val="134"/>
      </rPr>
      <t>+0.0161(αky-1)V</t>
    </r>
    <r>
      <rPr>
        <vertAlign val="superscript"/>
        <sz val="12"/>
        <rFont val="宋体"/>
        <family val="3"/>
        <charset val="134"/>
      </rPr>
      <t>o</t>
    </r>
  </si>
  <si>
    <t>Gy</t>
  </si>
  <si>
    <t>kg/kg</t>
  </si>
  <si>
    <t>管式</t>
  </si>
  <si>
    <t>T'ky.p</t>
  </si>
  <si>
    <t>T'ky.s</t>
  </si>
  <si>
    <t>T"ky.p</t>
  </si>
  <si>
    <t>T"ky.s</t>
  </si>
  <si>
    <t>T"y</t>
  </si>
  <si>
    <t xml:space="preserve">    引风机入口过剩空气系数</t>
    <phoneticPr fontId="1" type="noConversion"/>
  </si>
  <si>
    <t>旋风分离器出口过剩空气系数</t>
    <phoneticPr fontId="1" type="noConversion"/>
  </si>
  <si>
    <t>空予器至除尘器烟道漏风系数</t>
    <phoneticPr fontId="1" type="noConversion"/>
  </si>
  <si>
    <t>除尘器出口至引风机烟道漏风系数</t>
    <phoneticPr fontId="1" type="noConversion"/>
  </si>
  <si>
    <t>1Kg燃料产生的空预器出口湿烟气容积</t>
    <phoneticPr fontId="1" type="noConversion"/>
  </si>
  <si>
    <t>1Kg燃料产生的空预器出口湿烟气质量</t>
    <phoneticPr fontId="1" type="noConversion"/>
  </si>
  <si>
    <t>空预器</t>
    <phoneticPr fontId="1" type="noConversion"/>
  </si>
  <si>
    <t>锅炉排烟温度</t>
    <phoneticPr fontId="1" type="noConversion"/>
  </si>
  <si>
    <t>空预器一次风进口温度</t>
    <phoneticPr fontId="1" type="noConversion"/>
  </si>
  <si>
    <t>空预器二次风进口温度</t>
    <phoneticPr fontId="1" type="noConversion"/>
  </si>
  <si>
    <t>空预器一次风出口温度</t>
    <phoneticPr fontId="1" type="noConversion"/>
  </si>
  <si>
    <t>空预器二次风出口温度</t>
    <phoneticPr fontId="1" type="noConversion"/>
  </si>
  <si>
    <r>
      <t>1-Aar/100+(1+d/1000)*1.293*αky*V</t>
    </r>
    <r>
      <rPr>
        <vertAlign val="superscript"/>
        <sz val="12"/>
        <rFont val="宋体"/>
        <family val="3"/>
        <charset val="134"/>
      </rPr>
      <t>o</t>
    </r>
    <phoneticPr fontId="1" type="noConversion"/>
  </si>
  <si>
    <t>七</t>
    <phoneticPr fontId="1" type="noConversion"/>
  </si>
  <si>
    <t>锅炉各处空气量</t>
    <phoneticPr fontId="1" type="noConversion"/>
  </si>
  <si>
    <r>
      <t>V</t>
    </r>
    <r>
      <rPr>
        <vertAlign val="superscript"/>
        <sz val="12"/>
        <rFont val="宋体"/>
        <family val="3"/>
        <charset val="134"/>
      </rPr>
      <t>o'</t>
    </r>
  </si>
  <si>
    <r>
      <t>Nm</t>
    </r>
    <r>
      <rPr>
        <vertAlign val="superscript"/>
        <sz val="12"/>
        <rFont val="宋体"/>
        <family val="3"/>
        <charset val="134"/>
      </rPr>
      <t>3</t>
    </r>
    <r>
      <rPr>
        <sz val="12"/>
        <rFont val="宋体"/>
        <family val="3"/>
        <charset val="134"/>
      </rPr>
      <t>/kg燃料</t>
    </r>
  </si>
  <si>
    <r>
      <t>V</t>
    </r>
    <r>
      <rPr>
        <vertAlign val="superscript"/>
        <sz val="12"/>
        <rFont val="宋体"/>
        <family val="3"/>
        <charset val="134"/>
      </rPr>
      <t>o</t>
    </r>
    <r>
      <rPr>
        <sz val="12"/>
        <rFont val="宋体"/>
        <family val="3"/>
        <charset val="134"/>
      </rPr>
      <t>ks</t>
    </r>
  </si>
  <si>
    <r>
      <t>Nm</t>
    </r>
    <r>
      <rPr>
        <vertAlign val="superscript"/>
        <sz val="12"/>
        <rFont val="宋体"/>
        <family val="3"/>
        <charset val="134"/>
      </rPr>
      <t>3</t>
    </r>
    <r>
      <rPr>
        <sz val="12"/>
        <rFont val="宋体"/>
        <family val="3"/>
        <charset val="134"/>
      </rPr>
      <t>/kg</t>
    </r>
  </si>
  <si>
    <r>
      <t>αl*V</t>
    </r>
    <r>
      <rPr>
        <vertAlign val="superscript"/>
        <sz val="12"/>
        <rFont val="宋体"/>
        <family val="3"/>
        <charset val="134"/>
      </rPr>
      <t>o'</t>
    </r>
  </si>
  <si>
    <t>Bj</t>
  </si>
  <si>
    <t>kg/h</t>
  </si>
  <si>
    <t>燃料灰渣量计算表</t>
  </si>
  <si>
    <r>
      <t>V</t>
    </r>
    <r>
      <rPr>
        <vertAlign val="superscript"/>
        <sz val="12"/>
        <rFont val="宋体"/>
        <family val="3"/>
        <charset val="134"/>
      </rPr>
      <t>o</t>
    </r>
    <r>
      <rPr>
        <sz val="12"/>
        <rFont val="宋体"/>
        <family val="3"/>
        <charset val="134"/>
      </rPr>
      <t>k</t>
    </r>
  </si>
  <si>
    <r>
      <t>Nm</t>
    </r>
    <r>
      <rPr>
        <vertAlign val="superscript"/>
        <sz val="12"/>
        <rFont val="宋体"/>
        <family val="3"/>
        <charset val="134"/>
      </rPr>
      <t>3</t>
    </r>
    <r>
      <rPr>
        <sz val="12"/>
        <rFont val="宋体"/>
        <family val="3"/>
        <charset val="134"/>
      </rPr>
      <t>/h</t>
    </r>
  </si>
  <si>
    <t>理论空气量（体积,湿）</t>
    <phoneticPr fontId="1" type="noConversion"/>
  </si>
  <si>
    <t>炉膛出口过剩空气系数</t>
    <phoneticPr fontId="1" type="noConversion"/>
  </si>
  <si>
    <t>实际空气量（体积,湿）</t>
    <phoneticPr fontId="1" type="noConversion"/>
  </si>
  <si>
    <t>计算燃料消耗量</t>
    <phoneticPr fontId="1" type="noConversion"/>
  </si>
  <si>
    <t>实际空气总量（体积，湿）</t>
    <phoneticPr fontId="1" type="noConversion"/>
  </si>
  <si>
    <t xml:space="preserve">        一次风份额</t>
  </si>
  <si>
    <r>
      <t>β</t>
    </r>
    <r>
      <rPr>
        <vertAlign val="subscript"/>
        <sz val="12"/>
        <rFont val="Times New Roman"/>
        <family val="1"/>
      </rPr>
      <t>1</t>
    </r>
  </si>
  <si>
    <t xml:space="preserve">        冷风温度（计算温度）</t>
  </si>
  <si>
    <t xml:space="preserve">        当地年平均气压</t>
  </si>
  <si>
    <t xml:space="preserve">        冷一次风量（湿-标准态）</t>
  </si>
  <si>
    <r>
      <t>V</t>
    </r>
    <r>
      <rPr>
        <vertAlign val="subscript"/>
        <sz val="12"/>
        <rFont val="Times New Roman"/>
        <family val="1"/>
      </rPr>
      <t>NLf 1</t>
    </r>
  </si>
  <si>
    <r>
      <t>β</t>
    </r>
    <r>
      <rPr>
        <vertAlign val="subscript"/>
        <sz val="12"/>
        <rFont val="宋体"/>
        <family val="3"/>
        <charset val="134"/>
      </rPr>
      <t>1</t>
    </r>
    <r>
      <rPr>
        <sz val="12"/>
        <rFont val="宋体"/>
        <family val="3"/>
        <charset val="134"/>
      </rPr>
      <t>*V</t>
    </r>
    <r>
      <rPr>
        <vertAlign val="superscript"/>
        <sz val="12"/>
        <rFont val="宋体"/>
        <family val="3"/>
        <charset val="134"/>
      </rPr>
      <t>o</t>
    </r>
    <r>
      <rPr>
        <sz val="12"/>
        <rFont val="宋体"/>
        <family val="3"/>
        <charset val="134"/>
      </rPr>
      <t>k</t>
    </r>
  </si>
  <si>
    <t xml:space="preserve">        冷一次风量（湿-实态）</t>
  </si>
  <si>
    <r>
      <t>V</t>
    </r>
    <r>
      <rPr>
        <vertAlign val="subscript"/>
        <sz val="12"/>
        <rFont val="Times New Roman"/>
        <family val="1"/>
      </rPr>
      <t>Lf 1</t>
    </r>
  </si>
  <si>
    <r>
      <t>m</t>
    </r>
    <r>
      <rPr>
        <vertAlign val="superscript"/>
        <sz val="12"/>
        <rFont val="宋体"/>
        <family val="3"/>
        <charset val="134"/>
      </rPr>
      <t>3</t>
    </r>
    <r>
      <rPr>
        <sz val="12"/>
        <rFont val="宋体"/>
        <family val="3"/>
        <charset val="134"/>
      </rPr>
      <t>/h</t>
    </r>
  </si>
  <si>
    <r>
      <t>V</t>
    </r>
    <r>
      <rPr>
        <vertAlign val="subscript"/>
        <sz val="12"/>
        <rFont val="Times New Roman"/>
        <family val="1"/>
      </rPr>
      <t>NLf 1</t>
    </r>
    <r>
      <rPr>
        <sz val="12"/>
        <rFont val="Times New Roman"/>
        <family val="1"/>
      </rPr>
      <t>*(273+T ' ky.p)/273*101.325/Pb</t>
    </r>
  </si>
  <si>
    <t xml:space="preserve">        标况下湿空气密度</t>
  </si>
  <si>
    <r>
      <t>ρ</t>
    </r>
    <r>
      <rPr>
        <vertAlign val="subscript"/>
        <sz val="12"/>
        <rFont val="宋体"/>
        <family val="3"/>
        <charset val="134"/>
      </rPr>
      <t>ao</t>
    </r>
  </si>
  <si>
    <r>
      <t>kg/Nm</t>
    </r>
    <r>
      <rPr>
        <vertAlign val="superscript"/>
        <sz val="12"/>
        <rFont val="宋体"/>
        <family val="3"/>
        <charset val="134"/>
      </rPr>
      <t>3</t>
    </r>
  </si>
  <si>
    <t xml:space="preserve">        冷一次风量（质量流量）</t>
  </si>
  <si>
    <r>
      <t>G</t>
    </r>
    <r>
      <rPr>
        <vertAlign val="subscript"/>
        <sz val="12"/>
        <rFont val="Times New Roman"/>
        <family val="1"/>
      </rPr>
      <t>Lf 1</t>
    </r>
  </si>
  <si>
    <r>
      <t>ρ</t>
    </r>
    <r>
      <rPr>
        <vertAlign val="subscript"/>
        <sz val="12"/>
        <rFont val="Times New Roman"/>
        <family val="1"/>
      </rPr>
      <t>ao</t>
    </r>
    <r>
      <rPr>
        <sz val="12"/>
        <rFont val="Times New Roman"/>
        <family val="1"/>
      </rPr>
      <t>*V</t>
    </r>
    <r>
      <rPr>
        <vertAlign val="subscript"/>
        <sz val="12"/>
        <rFont val="Times New Roman"/>
        <family val="1"/>
      </rPr>
      <t>NLf 1</t>
    </r>
  </si>
  <si>
    <t xml:space="preserve">        冷一次风湿空气密度 （湿-实态）</t>
  </si>
  <si>
    <r>
      <t>ρ</t>
    </r>
    <r>
      <rPr>
        <vertAlign val="subscript"/>
        <sz val="12"/>
        <rFont val="宋体"/>
        <family val="3"/>
        <charset val="134"/>
      </rPr>
      <t>a1</t>
    </r>
  </si>
  <si>
    <r>
      <t>kg/m</t>
    </r>
    <r>
      <rPr>
        <vertAlign val="superscript"/>
        <sz val="12"/>
        <rFont val="宋体"/>
        <family val="3"/>
        <charset val="134"/>
      </rPr>
      <t>3</t>
    </r>
  </si>
  <si>
    <r>
      <t>G</t>
    </r>
    <r>
      <rPr>
        <vertAlign val="subscript"/>
        <sz val="12"/>
        <rFont val="Times New Roman"/>
        <family val="1"/>
      </rPr>
      <t>Lf 1</t>
    </r>
    <r>
      <rPr>
        <sz val="12"/>
        <rFont val="Times New Roman"/>
        <family val="1"/>
      </rPr>
      <t>/V</t>
    </r>
    <r>
      <rPr>
        <vertAlign val="subscript"/>
        <sz val="12"/>
        <rFont val="Times New Roman"/>
        <family val="1"/>
      </rPr>
      <t>Lf 1</t>
    </r>
  </si>
  <si>
    <t xml:space="preserve">        校核</t>
  </si>
  <si>
    <r>
      <t>ρ</t>
    </r>
    <r>
      <rPr>
        <vertAlign val="subscript"/>
        <sz val="12"/>
        <rFont val="宋体"/>
        <family val="3"/>
        <charset val="134"/>
      </rPr>
      <t>ao</t>
    </r>
    <r>
      <rPr>
        <sz val="12"/>
        <rFont val="宋体"/>
        <family val="3"/>
        <charset val="134"/>
      </rPr>
      <t>*273/（273+T'ky.p）*Pb/101.325（校核）</t>
    </r>
  </si>
  <si>
    <t xml:space="preserve">        热一次风温度</t>
  </si>
  <si>
    <t xml:space="preserve">        热一次风量（湿-实态）</t>
  </si>
  <si>
    <r>
      <t>V</t>
    </r>
    <r>
      <rPr>
        <vertAlign val="subscript"/>
        <sz val="12"/>
        <rFont val="Times New Roman"/>
        <family val="1"/>
      </rPr>
      <t>Rf 1</t>
    </r>
  </si>
  <si>
    <r>
      <t>V</t>
    </r>
    <r>
      <rPr>
        <vertAlign val="subscript"/>
        <sz val="12"/>
        <rFont val="Times New Roman"/>
        <family val="1"/>
      </rPr>
      <t>NLf 1</t>
    </r>
    <r>
      <rPr>
        <sz val="12"/>
        <rFont val="Times New Roman"/>
        <family val="1"/>
      </rPr>
      <t>*(273+T"ky.p)/273*101.325/Pb</t>
    </r>
  </si>
  <si>
    <t xml:space="preserve">        湿空气密度 （湿-实态）</t>
  </si>
  <si>
    <r>
      <t>ρ'</t>
    </r>
    <r>
      <rPr>
        <vertAlign val="subscript"/>
        <sz val="12"/>
        <rFont val="宋体"/>
        <family val="3"/>
        <charset val="134"/>
      </rPr>
      <t>a1</t>
    </r>
  </si>
  <si>
    <r>
      <t>G</t>
    </r>
    <r>
      <rPr>
        <vertAlign val="subscript"/>
        <sz val="12"/>
        <rFont val="Times New Roman"/>
        <family val="1"/>
      </rPr>
      <t>Lf 1/</t>
    </r>
    <r>
      <rPr>
        <sz val="12"/>
        <rFont val="Times New Roman"/>
        <family val="1"/>
      </rPr>
      <t>V</t>
    </r>
    <r>
      <rPr>
        <vertAlign val="subscript"/>
        <sz val="12"/>
        <rFont val="Times New Roman"/>
        <family val="1"/>
      </rPr>
      <t>Rf 1</t>
    </r>
  </si>
  <si>
    <t>冷一次风</t>
    <phoneticPr fontId="1" type="noConversion"/>
  </si>
  <si>
    <t>热一次风</t>
    <phoneticPr fontId="1" type="noConversion"/>
  </si>
  <si>
    <t xml:space="preserve">        二次风份额</t>
  </si>
  <si>
    <r>
      <t>β</t>
    </r>
    <r>
      <rPr>
        <vertAlign val="subscript"/>
        <sz val="12"/>
        <rFont val="Times New Roman"/>
        <family val="1"/>
      </rPr>
      <t>2</t>
    </r>
  </si>
  <si>
    <t xml:space="preserve">        冷风温度</t>
  </si>
  <si>
    <t xml:space="preserve">        冷二次风量（湿-标准态）</t>
  </si>
  <si>
    <r>
      <t>V</t>
    </r>
    <r>
      <rPr>
        <vertAlign val="subscript"/>
        <sz val="12"/>
        <rFont val="Times New Roman"/>
        <family val="1"/>
      </rPr>
      <t>NLf 2</t>
    </r>
  </si>
  <si>
    <r>
      <t>β</t>
    </r>
    <r>
      <rPr>
        <vertAlign val="subscript"/>
        <sz val="12"/>
        <rFont val="宋体"/>
        <family val="3"/>
        <charset val="134"/>
      </rPr>
      <t>2</t>
    </r>
    <r>
      <rPr>
        <sz val="12"/>
        <rFont val="宋体"/>
        <family val="3"/>
        <charset val="134"/>
      </rPr>
      <t>*V</t>
    </r>
    <r>
      <rPr>
        <vertAlign val="superscript"/>
        <sz val="12"/>
        <rFont val="宋体"/>
        <family val="3"/>
        <charset val="134"/>
      </rPr>
      <t>o</t>
    </r>
    <r>
      <rPr>
        <sz val="12"/>
        <rFont val="宋体"/>
        <family val="3"/>
        <charset val="134"/>
      </rPr>
      <t>k</t>
    </r>
  </si>
  <si>
    <t xml:space="preserve">        冷二次风量（湿-实态）</t>
  </si>
  <si>
    <r>
      <t>V</t>
    </r>
    <r>
      <rPr>
        <vertAlign val="subscript"/>
        <sz val="12"/>
        <rFont val="Times New Roman"/>
        <family val="1"/>
      </rPr>
      <t>Lf 2</t>
    </r>
  </si>
  <si>
    <r>
      <t>V</t>
    </r>
    <r>
      <rPr>
        <vertAlign val="subscript"/>
        <sz val="12"/>
        <rFont val="Times New Roman"/>
        <family val="1"/>
      </rPr>
      <t>NLf 2</t>
    </r>
    <r>
      <rPr>
        <sz val="12"/>
        <rFont val="Times New Roman"/>
        <family val="1"/>
      </rPr>
      <t>*(273+T'ky.s)/273*101.325/Pb</t>
    </r>
  </si>
  <si>
    <t xml:space="preserve">        冷二次风量（质量流量）</t>
  </si>
  <si>
    <r>
      <t>G</t>
    </r>
    <r>
      <rPr>
        <vertAlign val="subscript"/>
        <sz val="12"/>
        <rFont val="Times New Roman"/>
        <family val="1"/>
      </rPr>
      <t>Lf 2</t>
    </r>
  </si>
  <si>
    <r>
      <t>ρ</t>
    </r>
    <r>
      <rPr>
        <vertAlign val="subscript"/>
        <sz val="12"/>
        <rFont val="Times New Roman"/>
        <family val="1"/>
      </rPr>
      <t>ao</t>
    </r>
    <r>
      <rPr>
        <sz val="12"/>
        <rFont val="Times New Roman"/>
        <family val="1"/>
      </rPr>
      <t>*V</t>
    </r>
    <r>
      <rPr>
        <vertAlign val="subscript"/>
        <sz val="12"/>
        <rFont val="Times New Roman"/>
        <family val="1"/>
      </rPr>
      <t>NLf2</t>
    </r>
  </si>
  <si>
    <t xml:space="preserve">        冷二次风湿空气密度（湿-实态）</t>
  </si>
  <si>
    <r>
      <t>ρ</t>
    </r>
    <r>
      <rPr>
        <vertAlign val="subscript"/>
        <sz val="12"/>
        <rFont val="宋体"/>
        <family val="3"/>
        <charset val="134"/>
      </rPr>
      <t>a2</t>
    </r>
  </si>
  <si>
    <r>
      <t>G</t>
    </r>
    <r>
      <rPr>
        <vertAlign val="subscript"/>
        <sz val="12"/>
        <rFont val="Times New Roman"/>
        <family val="1"/>
      </rPr>
      <t>Lf2</t>
    </r>
    <r>
      <rPr>
        <sz val="12"/>
        <rFont val="Times New Roman"/>
        <family val="1"/>
      </rPr>
      <t>/V</t>
    </r>
    <r>
      <rPr>
        <vertAlign val="subscript"/>
        <sz val="12"/>
        <rFont val="Times New Roman"/>
        <family val="1"/>
      </rPr>
      <t>Lf2</t>
    </r>
  </si>
  <si>
    <t xml:space="preserve">        热二次风温度</t>
  </si>
  <si>
    <t xml:space="preserve">        热二次风量（湿-实态）</t>
  </si>
  <si>
    <r>
      <t>V</t>
    </r>
    <r>
      <rPr>
        <vertAlign val="subscript"/>
        <sz val="12"/>
        <rFont val="Times New Roman"/>
        <family val="1"/>
      </rPr>
      <t>Rf 2</t>
    </r>
  </si>
  <si>
    <t>m3/h</t>
  </si>
  <si>
    <r>
      <t>V</t>
    </r>
    <r>
      <rPr>
        <vertAlign val="subscript"/>
        <sz val="12"/>
        <rFont val="Times New Roman"/>
        <family val="1"/>
      </rPr>
      <t>NLf 2</t>
    </r>
    <r>
      <rPr>
        <sz val="12"/>
        <rFont val="Times New Roman"/>
        <family val="1"/>
      </rPr>
      <t>*(273+T"ky.s)/273*101.325/Pb</t>
    </r>
  </si>
  <si>
    <t xml:space="preserve">        湿空气密度（湿-实态）</t>
  </si>
  <si>
    <r>
      <t>ρ'</t>
    </r>
    <r>
      <rPr>
        <vertAlign val="subscript"/>
        <sz val="12"/>
        <rFont val="宋体"/>
        <family val="3"/>
        <charset val="134"/>
      </rPr>
      <t>a2</t>
    </r>
  </si>
  <si>
    <t>kg/m3</t>
  </si>
  <si>
    <r>
      <t>G</t>
    </r>
    <r>
      <rPr>
        <vertAlign val="subscript"/>
        <sz val="12"/>
        <rFont val="Times New Roman"/>
        <family val="1"/>
      </rPr>
      <t>Lf 2/</t>
    </r>
    <r>
      <rPr>
        <sz val="12"/>
        <rFont val="Times New Roman"/>
        <family val="1"/>
      </rPr>
      <t>V</t>
    </r>
    <r>
      <rPr>
        <vertAlign val="subscript"/>
        <sz val="12"/>
        <rFont val="Times New Roman"/>
        <family val="1"/>
      </rPr>
      <t>Rf 2</t>
    </r>
  </si>
  <si>
    <t>冷二次风</t>
    <phoneticPr fontId="1" type="noConversion"/>
  </si>
  <si>
    <t>热二次风</t>
    <phoneticPr fontId="1" type="noConversion"/>
  </si>
  <si>
    <t>（26）</t>
  </si>
  <si>
    <t>（27）</t>
  </si>
  <si>
    <t>（28）</t>
  </si>
  <si>
    <t>（29）</t>
  </si>
  <si>
    <t>（30）</t>
  </si>
  <si>
    <t>（31）</t>
  </si>
  <si>
    <t>八</t>
    <phoneticPr fontId="1" type="noConversion"/>
  </si>
  <si>
    <t>锅炉各处烟气量</t>
    <phoneticPr fontId="1" type="noConversion"/>
  </si>
  <si>
    <r>
      <t>V</t>
    </r>
    <r>
      <rPr>
        <vertAlign val="superscript"/>
        <sz val="12"/>
        <rFont val="宋体"/>
        <family val="3"/>
        <charset val="134"/>
      </rPr>
      <t>N</t>
    </r>
    <r>
      <rPr>
        <sz val="12"/>
        <rFont val="宋体"/>
        <family val="3"/>
        <charset val="134"/>
      </rPr>
      <t>yk</t>
    </r>
  </si>
  <si>
    <t>Vy*Bj</t>
  </si>
  <si>
    <t>Gyk</t>
  </si>
  <si>
    <t>Gy*Bj</t>
  </si>
  <si>
    <t>Vyk</t>
  </si>
  <si>
    <r>
      <t>V</t>
    </r>
    <r>
      <rPr>
        <vertAlign val="superscript"/>
        <sz val="12"/>
        <rFont val="宋体"/>
        <family val="3"/>
        <charset val="134"/>
      </rPr>
      <t>N</t>
    </r>
    <r>
      <rPr>
        <sz val="12"/>
        <rFont val="宋体"/>
        <family val="3"/>
        <charset val="134"/>
      </rPr>
      <t>yk*(273+T"y)/273*101.325/Pb</t>
    </r>
  </si>
  <si>
    <t>ρyk</t>
  </si>
  <si>
    <t>Gyk/Vyk</t>
  </si>
  <si>
    <t>空预器出口</t>
    <phoneticPr fontId="1" type="noConversion"/>
  </si>
  <si>
    <t>标况下空预器出口1Kg燃料湿烟气容积</t>
    <phoneticPr fontId="1" type="noConversion"/>
  </si>
  <si>
    <t>空预器出口1Kg燃料产生的湿烟气质量</t>
    <phoneticPr fontId="1" type="noConversion"/>
  </si>
  <si>
    <t>标况下空预器出口烟气容积流量</t>
    <phoneticPr fontId="1" type="noConversion"/>
  </si>
  <si>
    <t>空预器出口烟气容积量(实态）</t>
    <phoneticPr fontId="1" type="noConversion"/>
  </si>
  <si>
    <r>
      <t>T</t>
    </r>
    <r>
      <rPr>
        <vertAlign val="subscript"/>
        <sz val="12"/>
        <color indexed="8"/>
        <rFont val="宋体"/>
        <family val="3"/>
        <charset val="134"/>
      </rPr>
      <t>lk</t>
    </r>
  </si>
  <si>
    <r>
      <t>T</t>
    </r>
    <r>
      <rPr>
        <vertAlign val="subscript"/>
        <sz val="12"/>
        <color indexed="8"/>
        <rFont val="宋体"/>
        <family val="3"/>
        <charset val="134"/>
      </rPr>
      <t>cj</t>
    </r>
  </si>
  <si>
    <r>
      <t>(α</t>
    </r>
    <r>
      <rPr>
        <vertAlign val="subscript"/>
        <sz val="12"/>
        <rFont val="宋体"/>
        <family val="3"/>
        <charset val="134"/>
      </rPr>
      <t>ky</t>
    </r>
    <r>
      <rPr>
        <sz val="12"/>
        <rFont val="宋体"/>
        <family val="3"/>
        <charset val="134"/>
      </rPr>
      <t>T"y+△α</t>
    </r>
    <r>
      <rPr>
        <vertAlign val="subscript"/>
        <sz val="12"/>
        <rFont val="宋体"/>
        <family val="3"/>
        <charset val="134"/>
      </rPr>
      <t>cj</t>
    </r>
    <r>
      <rPr>
        <sz val="12"/>
        <rFont val="宋体"/>
        <family val="3"/>
        <charset val="134"/>
      </rPr>
      <t>*T</t>
    </r>
    <r>
      <rPr>
        <vertAlign val="subscript"/>
        <sz val="12"/>
        <rFont val="宋体"/>
        <family val="3"/>
        <charset val="134"/>
      </rPr>
      <t>lk</t>
    </r>
    <r>
      <rPr>
        <sz val="12"/>
        <rFont val="宋体"/>
        <family val="3"/>
        <charset val="134"/>
      </rPr>
      <t>)/(α</t>
    </r>
    <r>
      <rPr>
        <vertAlign val="subscript"/>
        <sz val="12"/>
        <rFont val="宋体"/>
        <family val="3"/>
        <charset val="134"/>
      </rPr>
      <t>ky</t>
    </r>
    <r>
      <rPr>
        <sz val="12"/>
        <rFont val="宋体"/>
        <family val="3"/>
        <charset val="134"/>
      </rPr>
      <t>+△α</t>
    </r>
    <r>
      <rPr>
        <vertAlign val="subscript"/>
        <sz val="12"/>
        <rFont val="宋体"/>
        <family val="3"/>
        <charset val="134"/>
      </rPr>
      <t>cj</t>
    </r>
    <r>
      <rPr>
        <sz val="12"/>
        <rFont val="宋体"/>
        <family val="3"/>
        <charset val="134"/>
      </rPr>
      <t>)</t>
    </r>
  </si>
  <si>
    <t>V'ycj</t>
  </si>
  <si>
    <t>G'ycj</t>
  </si>
  <si>
    <r>
      <t>1-Aar/100+1.293*(1+d/1000)*αcj*V</t>
    </r>
    <r>
      <rPr>
        <vertAlign val="superscript"/>
        <sz val="12"/>
        <rFont val="宋体"/>
        <family val="3"/>
        <charset val="134"/>
      </rPr>
      <t>o</t>
    </r>
  </si>
  <si>
    <r>
      <t>V</t>
    </r>
    <r>
      <rPr>
        <vertAlign val="superscript"/>
        <sz val="12"/>
        <rFont val="宋体"/>
        <family val="3"/>
        <charset val="134"/>
      </rPr>
      <t>N</t>
    </r>
    <r>
      <rPr>
        <sz val="12"/>
        <rFont val="宋体"/>
        <family val="3"/>
        <charset val="134"/>
      </rPr>
      <t>ycj</t>
    </r>
  </si>
  <si>
    <t xml:space="preserve">V'ycj*Bj </t>
  </si>
  <si>
    <t>Gycj</t>
  </si>
  <si>
    <t>G'ycj*Bj</t>
  </si>
  <si>
    <t>Vycj</t>
  </si>
  <si>
    <r>
      <t>V</t>
    </r>
    <r>
      <rPr>
        <vertAlign val="superscript"/>
        <sz val="12"/>
        <rFont val="宋体"/>
        <family val="3"/>
        <charset val="134"/>
      </rPr>
      <t>N</t>
    </r>
    <r>
      <rPr>
        <sz val="12"/>
        <rFont val="宋体"/>
        <family val="3"/>
        <charset val="134"/>
      </rPr>
      <t>ycj*(273+Tcj)/273*101.325/Pb</t>
    </r>
  </si>
  <si>
    <t>除尘器进口</t>
    <phoneticPr fontId="1" type="noConversion"/>
  </si>
  <si>
    <t>标况下除尘器进口处1kg燃料湿烟气容积</t>
    <phoneticPr fontId="1" type="noConversion"/>
  </si>
  <si>
    <t>除尘器进口处1kg燃料湿烟气质量</t>
    <phoneticPr fontId="1" type="noConversion"/>
  </si>
  <si>
    <t>标况下除尘器进口烟气容积流量</t>
    <phoneticPr fontId="1" type="noConversion"/>
  </si>
  <si>
    <t>除尘器进口处烟气容积流量(实态）</t>
    <phoneticPr fontId="1" type="noConversion"/>
  </si>
  <si>
    <r>
      <t>Vy+△α</t>
    </r>
    <r>
      <rPr>
        <vertAlign val="subscript"/>
        <sz val="12"/>
        <rFont val="宋体"/>
        <family val="3"/>
        <charset val="134"/>
      </rPr>
      <t>cj</t>
    </r>
    <r>
      <rPr>
        <sz val="12"/>
        <rFont val="宋体"/>
        <family val="3"/>
        <charset val="134"/>
      </rPr>
      <t>*V</t>
    </r>
    <r>
      <rPr>
        <vertAlign val="superscript"/>
        <sz val="12"/>
        <rFont val="宋体"/>
        <family val="3"/>
        <charset val="134"/>
      </rPr>
      <t>O'</t>
    </r>
    <r>
      <rPr>
        <sz val="12"/>
        <rFont val="宋体"/>
        <family val="3"/>
        <charset val="134"/>
      </rPr>
      <t>+0.0161*</t>
    </r>
    <r>
      <rPr>
        <sz val="12"/>
        <rFont val="宋体"/>
        <family val="3"/>
        <charset val="134"/>
      </rPr>
      <t>V</t>
    </r>
    <r>
      <rPr>
        <vertAlign val="superscript"/>
        <sz val="12"/>
        <rFont val="宋体"/>
        <family val="3"/>
        <charset val="134"/>
      </rPr>
      <t>O'</t>
    </r>
    <phoneticPr fontId="1" type="noConversion"/>
  </si>
  <si>
    <t>αcj+△αcc</t>
  </si>
  <si>
    <r>
      <t>T</t>
    </r>
    <r>
      <rPr>
        <vertAlign val="subscript"/>
        <sz val="12"/>
        <color indexed="8"/>
        <rFont val="宋体"/>
        <family val="3"/>
        <charset val="134"/>
      </rPr>
      <t>cc</t>
    </r>
  </si>
  <si>
    <t>湿法脱硫，给定</t>
  </si>
  <si>
    <t>V'ycc</t>
  </si>
  <si>
    <r>
      <t>V'ycj+△αcc*V</t>
    </r>
    <r>
      <rPr>
        <vertAlign val="superscript"/>
        <sz val="12"/>
        <rFont val="宋体"/>
        <family val="3"/>
        <charset val="134"/>
      </rPr>
      <t>O'</t>
    </r>
    <r>
      <rPr>
        <sz val="12"/>
        <rFont val="宋体"/>
        <family val="3"/>
        <charset val="134"/>
      </rPr>
      <t>+0.0161*△αcc*V</t>
    </r>
    <r>
      <rPr>
        <vertAlign val="superscript"/>
        <sz val="12"/>
        <rFont val="宋体"/>
        <family val="3"/>
        <charset val="134"/>
      </rPr>
      <t>O'</t>
    </r>
  </si>
  <si>
    <t>G'ycc</t>
  </si>
  <si>
    <r>
      <t>1-Aar/100+1.293*(1+d/1000)*αcc*V</t>
    </r>
    <r>
      <rPr>
        <vertAlign val="superscript"/>
        <sz val="12"/>
        <rFont val="宋体"/>
        <family val="3"/>
        <charset val="134"/>
      </rPr>
      <t>o</t>
    </r>
  </si>
  <si>
    <r>
      <t>V</t>
    </r>
    <r>
      <rPr>
        <vertAlign val="superscript"/>
        <sz val="12"/>
        <rFont val="宋体"/>
        <family val="3"/>
        <charset val="134"/>
      </rPr>
      <t>N</t>
    </r>
    <r>
      <rPr>
        <sz val="12"/>
        <rFont val="宋体"/>
        <family val="3"/>
        <charset val="134"/>
      </rPr>
      <t>ycc</t>
    </r>
  </si>
  <si>
    <t xml:space="preserve">V'ycc*Bj </t>
  </si>
  <si>
    <t>Gycc</t>
  </si>
  <si>
    <t>G'ycc*Bj</t>
  </si>
  <si>
    <t>Vycc</t>
  </si>
  <si>
    <r>
      <t>V</t>
    </r>
    <r>
      <rPr>
        <vertAlign val="superscript"/>
        <sz val="12"/>
        <rFont val="宋体"/>
        <family val="3"/>
        <charset val="134"/>
      </rPr>
      <t>N</t>
    </r>
    <r>
      <rPr>
        <sz val="12"/>
        <rFont val="宋体"/>
        <family val="3"/>
        <charset val="134"/>
      </rPr>
      <t>ycc*(273+Tcc)/273*101.325/Pb</t>
    </r>
  </si>
  <si>
    <t>ρycc</t>
  </si>
  <si>
    <t>Gycc/Vycc</t>
  </si>
  <si>
    <r>
      <t>Δα</t>
    </r>
    <r>
      <rPr>
        <vertAlign val="subscript"/>
        <sz val="12"/>
        <rFont val="宋体"/>
        <family val="3"/>
        <charset val="134"/>
      </rPr>
      <t>xj</t>
    </r>
  </si>
  <si>
    <r>
      <t>α</t>
    </r>
    <r>
      <rPr>
        <vertAlign val="subscript"/>
        <sz val="12"/>
        <rFont val="宋体"/>
        <family val="3"/>
        <charset val="134"/>
      </rPr>
      <t>cc</t>
    </r>
    <r>
      <rPr>
        <sz val="12"/>
        <rFont val="Times New Roman"/>
        <family val="1"/>
      </rPr>
      <t>+</t>
    </r>
    <r>
      <rPr>
        <sz val="12"/>
        <rFont val="宋体"/>
        <family val="3"/>
        <charset val="134"/>
      </rPr>
      <t>Δα</t>
    </r>
    <r>
      <rPr>
        <vertAlign val="subscript"/>
        <sz val="12"/>
        <rFont val="Times New Roman"/>
        <family val="1"/>
      </rPr>
      <t>xj</t>
    </r>
  </si>
  <si>
    <r>
      <t>T</t>
    </r>
    <r>
      <rPr>
        <vertAlign val="subscript"/>
        <sz val="12"/>
        <color indexed="8"/>
        <rFont val="宋体"/>
        <family val="3"/>
        <charset val="134"/>
      </rPr>
      <t>xf</t>
    </r>
  </si>
  <si>
    <t>(αcc*Tcc+△αxj*Tlk)/(αcc+△αxj)</t>
  </si>
  <si>
    <t>V'xf</t>
  </si>
  <si>
    <r>
      <t>V'ycc+△α</t>
    </r>
    <r>
      <rPr>
        <vertAlign val="subscript"/>
        <sz val="12"/>
        <rFont val="宋体"/>
        <family val="3"/>
        <charset val="134"/>
      </rPr>
      <t>xj</t>
    </r>
    <r>
      <rPr>
        <sz val="12"/>
        <rFont val="宋体"/>
        <family val="3"/>
        <charset val="134"/>
      </rPr>
      <t>*V</t>
    </r>
    <r>
      <rPr>
        <vertAlign val="superscript"/>
        <sz val="12"/>
        <rFont val="宋体"/>
        <family val="3"/>
        <charset val="134"/>
      </rPr>
      <t>o'</t>
    </r>
    <r>
      <rPr>
        <sz val="12"/>
        <rFont val="宋体"/>
        <family val="3"/>
        <charset val="134"/>
      </rPr>
      <t>+0.0161*△αxj*V</t>
    </r>
    <r>
      <rPr>
        <vertAlign val="superscript"/>
        <sz val="12"/>
        <rFont val="宋体"/>
        <family val="3"/>
        <charset val="134"/>
      </rPr>
      <t>o'</t>
    </r>
  </si>
  <si>
    <t>G'xf</t>
  </si>
  <si>
    <r>
      <t>1-Aar/100+1.293*(1+d/1000)*αxf*V</t>
    </r>
    <r>
      <rPr>
        <vertAlign val="superscript"/>
        <sz val="12"/>
        <rFont val="宋体"/>
        <family val="3"/>
        <charset val="134"/>
      </rPr>
      <t>o</t>
    </r>
  </si>
  <si>
    <r>
      <t>V</t>
    </r>
    <r>
      <rPr>
        <vertAlign val="superscript"/>
        <sz val="12"/>
        <rFont val="宋体"/>
        <family val="3"/>
        <charset val="134"/>
      </rPr>
      <t>N</t>
    </r>
    <r>
      <rPr>
        <sz val="12"/>
        <rFont val="宋体"/>
        <family val="3"/>
        <charset val="134"/>
      </rPr>
      <t>xf</t>
    </r>
  </si>
  <si>
    <t>V'xf*Bj</t>
  </si>
  <si>
    <r>
      <t>Nm</t>
    </r>
    <r>
      <rPr>
        <vertAlign val="superscript"/>
        <sz val="12"/>
        <rFont val="宋体"/>
        <family val="3"/>
        <charset val="134"/>
      </rPr>
      <t>3</t>
    </r>
    <r>
      <rPr>
        <sz val="12"/>
        <rFont val="宋体"/>
        <family val="3"/>
        <charset val="134"/>
      </rPr>
      <t>/s</t>
    </r>
  </si>
  <si>
    <t>V'xf*Bj/3600</t>
  </si>
  <si>
    <t>Gxf</t>
  </si>
  <si>
    <t>G'xf*Bj</t>
  </si>
  <si>
    <t>Vxf</t>
  </si>
  <si>
    <r>
      <t>V</t>
    </r>
    <r>
      <rPr>
        <vertAlign val="superscript"/>
        <sz val="12"/>
        <rFont val="宋体"/>
        <family val="3"/>
        <charset val="134"/>
      </rPr>
      <t>N</t>
    </r>
    <r>
      <rPr>
        <sz val="12"/>
        <rFont val="宋体"/>
        <family val="3"/>
        <charset val="134"/>
      </rPr>
      <t>xf*(273+Txf)/273*101.325/Pb</t>
    </r>
  </si>
  <si>
    <t>Vxfc</t>
  </si>
  <si>
    <r>
      <t>m</t>
    </r>
    <r>
      <rPr>
        <vertAlign val="superscript"/>
        <sz val="12"/>
        <rFont val="宋体"/>
        <family val="3"/>
        <charset val="134"/>
      </rPr>
      <t>3</t>
    </r>
    <r>
      <rPr>
        <sz val="12"/>
        <rFont val="宋体"/>
        <family val="3"/>
        <charset val="134"/>
      </rPr>
      <t>/s</t>
    </r>
  </si>
  <si>
    <t>Vxf/3600</t>
  </si>
  <si>
    <t>ρyxf</t>
  </si>
  <si>
    <t>Gyxf/Vyxf</t>
  </si>
  <si>
    <r>
      <t>ρ</t>
    </r>
    <r>
      <rPr>
        <vertAlign val="subscript"/>
        <sz val="12"/>
        <color indexed="8"/>
        <rFont val="宋体"/>
        <family val="3"/>
        <charset val="134"/>
      </rPr>
      <t>yo</t>
    </r>
  </si>
  <si>
    <r>
      <t>kg/Nm</t>
    </r>
    <r>
      <rPr>
        <vertAlign val="superscript"/>
        <sz val="12"/>
        <rFont val="Times New Roman"/>
        <family val="1"/>
      </rPr>
      <t>3</t>
    </r>
  </si>
  <si>
    <r>
      <t>Gxf/V</t>
    </r>
    <r>
      <rPr>
        <vertAlign val="superscript"/>
        <sz val="12"/>
        <rFont val="宋体"/>
        <family val="3"/>
        <charset val="134"/>
      </rPr>
      <t>N</t>
    </r>
    <r>
      <rPr>
        <sz val="12"/>
        <rFont val="宋体"/>
        <family val="3"/>
        <charset val="134"/>
      </rPr>
      <t>xf</t>
    </r>
  </si>
  <si>
    <t>标况下除尘器出口处1kg燃料湿烟气容积</t>
    <phoneticPr fontId="1" type="noConversion"/>
  </si>
  <si>
    <t>除尘器出口处1kg燃料湿烟气质量</t>
    <phoneticPr fontId="1" type="noConversion"/>
  </si>
  <si>
    <t>标况下除尘器出口湿烟气容积流量</t>
    <phoneticPr fontId="1" type="noConversion"/>
  </si>
  <si>
    <t>除尘器出口处湿烟气质量流量</t>
    <phoneticPr fontId="1" type="noConversion"/>
  </si>
  <si>
    <t>除尘器出口处湿烟气容积流量(实态）</t>
    <phoneticPr fontId="1" type="noConversion"/>
  </si>
  <si>
    <t>标况下引风机进口处1kg燃料湿烟气容积</t>
    <phoneticPr fontId="1" type="noConversion"/>
  </si>
  <si>
    <t>引风机进口处1kg燃料湿烟气质量</t>
    <phoneticPr fontId="1" type="noConversion"/>
  </si>
  <si>
    <t>标况下引风机进口湿烟气容积流量</t>
    <phoneticPr fontId="1" type="noConversion"/>
  </si>
  <si>
    <t>引风机进口处湿烟气容积流量(实态）</t>
    <phoneticPr fontId="1" type="noConversion"/>
  </si>
  <si>
    <t>引风机处计算湿烟气密度（标况）</t>
    <phoneticPr fontId="1" type="noConversion"/>
  </si>
  <si>
    <t>（32）</t>
  </si>
  <si>
    <t>（33）</t>
  </si>
  <si>
    <t>（34）</t>
  </si>
  <si>
    <t>（35）</t>
  </si>
  <si>
    <t>（36）</t>
  </si>
  <si>
    <t>（37）</t>
  </si>
  <si>
    <t>（38）</t>
  </si>
  <si>
    <t>（39）</t>
  </si>
  <si>
    <t>（40）</t>
  </si>
  <si>
    <t>（41）</t>
  </si>
  <si>
    <t>（42）</t>
  </si>
  <si>
    <t>（43）</t>
  </si>
  <si>
    <t>九</t>
    <phoneticPr fontId="1" type="noConversion"/>
  </si>
  <si>
    <t>烟气中含氧量</t>
    <phoneticPr fontId="1" type="noConversion"/>
  </si>
  <si>
    <r>
      <t>V</t>
    </r>
    <r>
      <rPr>
        <vertAlign val="subscript"/>
        <sz val="12"/>
        <rFont val="Times New Roman"/>
        <family val="1"/>
      </rPr>
      <t>O2</t>
    </r>
    <r>
      <rPr>
        <sz val="12"/>
        <rFont val="Times New Roman"/>
        <family val="1"/>
      </rPr>
      <t>'</t>
    </r>
  </si>
  <si>
    <r>
      <t>Nm</t>
    </r>
    <r>
      <rPr>
        <vertAlign val="superscript"/>
        <sz val="12"/>
        <rFont val="Times New Roman"/>
        <family val="1"/>
      </rPr>
      <t>3</t>
    </r>
    <r>
      <rPr>
        <sz val="12"/>
        <rFont val="Times New Roman"/>
        <family val="1"/>
      </rPr>
      <t>/kg</t>
    </r>
    <r>
      <rPr>
        <sz val="12"/>
        <rFont val="宋体"/>
        <family val="3"/>
        <charset val="134"/>
      </rPr>
      <t>燃料</t>
    </r>
  </si>
  <si>
    <r>
      <t>0.21(a</t>
    </r>
    <r>
      <rPr>
        <vertAlign val="subscript"/>
        <sz val="12"/>
        <rFont val="宋体"/>
        <family val="3"/>
        <charset val="134"/>
      </rPr>
      <t>xf</t>
    </r>
    <r>
      <rPr>
        <sz val="12"/>
        <rFont val="宋体"/>
        <family val="3"/>
        <charset val="134"/>
      </rPr>
      <t>-1)V</t>
    </r>
    <r>
      <rPr>
        <vertAlign val="superscript"/>
        <sz val="12"/>
        <rFont val="Times New Roman"/>
        <family val="1"/>
      </rPr>
      <t>0</t>
    </r>
  </si>
  <si>
    <r>
      <t>Vgy</t>
    </r>
    <r>
      <rPr>
        <vertAlign val="superscript"/>
        <sz val="12"/>
        <rFont val="宋体"/>
        <family val="3"/>
        <charset val="134"/>
      </rPr>
      <t>o</t>
    </r>
  </si>
  <si>
    <r>
      <t>V</t>
    </r>
    <r>
      <rPr>
        <vertAlign val="superscript"/>
        <sz val="12"/>
        <rFont val="宋体"/>
        <family val="3"/>
        <charset val="134"/>
      </rPr>
      <t>o</t>
    </r>
    <r>
      <rPr>
        <sz val="12"/>
        <rFont val="宋体"/>
        <family val="3"/>
        <charset val="134"/>
      </rPr>
      <t>N2+V</t>
    </r>
    <r>
      <rPr>
        <vertAlign val="superscript"/>
        <sz val="12"/>
        <rFont val="宋体"/>
        <family val="3"/>
        <charset val="134"/>
      </rPr>
      <t>o</t>
    </r>
    <r>
      <rPr>
        <sz val="12"/>
        <rFont val="宋体"/>
        <family val="3"/>
        <charset val="134"/>
      </rPr>
      <t>RO2</t>
    </r>
  </si>
  <si>
    <r>
      <t>V</t>
    </r>
    <r>
      <rPr>
        <vertAlign val="superscript"/>
        <sz val="12"/>
        <rFont val="宋体"/>
        <family val="3"/>
        <charset val="134"/>
      </rPr>
      <t>o</t>
    </r>
  </si>
  <si>
    <t>0.0889（Car+0.375St,ar)+0.265Har-0.0333Oar</t>
  </si>
  <si>
    <r>
      <t>Vgy</t>
    </r>
    <r>
      <rPr>
        <vertAlign val="superscript"/>
        <sz val="12"/>
        <rFont val="宋体"/>
        <family val="3"/>
        <charset val="134"/>
      </rPr>
      <t>o</t>
    </r>
    <r>
      <rPr>
        <sz val="12"/>
        <rFont val="宋体"/>
        <family val="3"/>
        <charset val="134"/>
      </rPr>
      <t>+(a</t>
    </r>
    <r>
      <rPr>
        <vertAlign val="subscript"/>
        <sz val="12"/>
        <rFont val="宋体"/>
        <family val="3"/>
        <charset val="134"/>
      </rPr>
      <t>xf</t>
    </r>
    <r>
      <rPr>
        <sz val="12"/>
        <rFont val="宋体"/>
        <family val="3"/>
        <charset val="134"/>
      </rPr>
      <t>-1)V</t>
    </r>
    <r>
      <rPr>
        <vertAlign val="superscript"/>
        <sz val="12"/>
        <rFont val="宋体"/>
        <family val="3"/>
        <charset val="134"/>
      </rPr>
      <t>0</t>
    </r>
  </si>
  <si>
    <t>Vgy</t>
  </si>
  <si>
    <r>
      <t>n</t>
    </r>
    <r>
      <rPr>
        <vertAlign val="subscript"/>
        <sz val="12"/>
        <rFont val="Times New Roman"/>
        <family val="1"/>
      </rPr>
      <t>go2</t>
    </r>
  </si>
  <si>
    <r>
      <t>V</t>
    </r>
    <r>
      <rPr>
        <vertAlign val="subscript"/>
        <sz val="12"/>
        <rFont val="Times New Roman"/>
        <family val="1"/>
      </rPr>
      <t>O2</t>
    </r>
    <r>
      <rPr>
        <sz val="12"/>
        <rFont val="Times New Roman"/>
        <family val="1"/>
      </rPr>
      <t>'/V</t>
    </r>
    <r>
      <rPr>
        <vertAlign val="subscript"/>
        <sz val="12"/>
        <rFont val="Times New Roman"/>
        <family val="1"/>
      </rPr>
      <t>gy</t>
    </r>
    <r>
      <rPr>
        <sz val="12"/>
        <rFont val="Times New Roman"/>
        <family val="1"/>
      </rPr>
      <t>'</t>
    </r>
  </si>
  <si>
    <r>
      <t>V</t>
    </r>
    <r>
      <rPr>
        <vertAlign val="subscript"/>
        <sz val="12"/>
        <rFont val="Times New Roman"/>
        <family val="1"/>
      </rPr>
      <t>gy</t>
    </r>
    <r>
      <rPr>
        <sz val="12"/>
        <rFont val="Times New Roman"/>
        <family val="1"/>
      </rPr>
      <t>*(21-n</t>
    </r>
    <r>
      <rPr>
        <vertAlign val="subscript"/>
        <sz val="12"/>
        <rFont val="Times New Roman"/>
        <family val="1"/>
      </rPr>
      <t>go2</t>
    </r>
    <r>
      <rPr>
        <vertAlign val="superscript"/>
        <sz val="12"/>
        <rFont val="Times New Roman"/>
        <family val="1"/>
      </rPr>
      <t>'</t>
    </r>
    <r>
      <rPr>
        <sz val="12"/>
        <rFont val="Times New Roman"/>
        <family val="1"/>
      </rPr>
      <t>)/(21-6)</t>
    </r>
  </si>
  <si>
    <t>旋风分离器漏风系数</t>
    <phoneticPr fontId="1" type="noConversion"/>
  </si>
  <si>
    <t>高过漏风系数</t>
    <phoneticPr fontId="1" type="noConversion"/>
  </si>
  <si>
    <t>高过出口过剩空气系数</t>
    <phoneticPr fontId="1" type="noConversion"/>
  </si>
  <si>
    <t>低过漏风系数</t>
    <phoneticPr fontId="1" type="noConversion"/>
  </si>
  <si>
    <t>低过出口过剩空气系数</t>
    <phoneticPr fontId="1" type="noConversion"/>
  </si>
  <si>
    <t>省燃料器漏风系数</t>
    <phoneticPr fontId="1" type="noConversion"/>
  </si>
  <si>
    <t>省燃料器出口过剩空气系数</t>
    <phoneticPr fontId="1" type="noConversion"/>
  </si>
  <si>
    <t>空预器漏风系数</t>
    <phoneticPr fontId="1" type="noConversion"/>
  </si>
  <si>
    <t>空预器出口过剩空气系数</t>
    <phoneticPr fontId="1" type="noConversion"/>
  </si>
  <si>
    <t>除尘器进口过剩空气系数</t>
    <phoneticPr fontId="1" type="noConversion"/>
  </si>
  <si>
    <t>除尘器漏风系数</t>
    <phoneticPr fontId="1" type="noConversion"/>
  </si>
  <si>
    <t>除尘器出口过剩空气系数</t>
    <phoneticPr fontId="1" type="noConversion"/>
  </si>
  <si>
    <t>引风机入口过剩空气系数</t>
    <phoneticPr fontId="1" type="noConversion"/>
  </si>
  <si>
    <t>冷空气温度</t>
    <phoneticPr fontId="1" type="noConversion"/>
  </si>
  <si>
    <t>除尘器进口处烟气温度</t>
    <phoneticPr fontId="1" type="noConversion"/>
  </si>
  <si>
    <t>除尘器进口处烟气质量流量</t>
    <phoneticPr fontId="1" type="noConversion"/>
  </si>
  <si>
    <t>空预器出口烟气质量流量</t>
    <phoneticPr fontId="1" type="noConversion"/>
  </si>
  <si>
    <t>锅炉空预器出口排烟温度</t>
    <phoneticPr fontId="1" type="noConversion"/>
  </si>
  <si>
    <t>烟气密度（实态）</t>
    <phoneticPr fontId="1" type="noConversion"/>
  </si>
  <si>
    <t>除尘器出口烟气温度</t>
    <phoneticPr fontId="1" type="noConversion"/>
  </si>
  <si>
    <t>引风机入口烟气温度</t>
    <phoneticPr fontId="1" type="noConversion"/>
  </si>
  <si>
    <t xml:space="preserve">    烟气中的氧量</t>
    <phoneticPr fontId="1" type="noConversion"/>
  </si>
  <si>
    <t xml:space="preserve">    理论干烟气容积</t>
    <phoneticPr fontId="1" type="noConversion"/>
  </si>
  <si>
    <t xml:space="preserve">    理论干空气量</t>
    <phoneticPr fontId="1" type="noConversion"/>
  </si>
  <si>
    <t xml:space="preserve">    计算燃料消耗量</t>
    <phoneticPr fontId="1" type="noConversion"/>
  </si>
  <si>
    <t xml:space="preserve">    干烟气中含氧量</t>
    <phoneticPr fontId="1" type="noConversion"/>
  </si>
  <si>
    <r>
      <t xml:space="preserve">    总燃烧产物</t>
    </r>
    <r>
      <rPr>
        <sz val="12"/>
        <color indexed="8"/>
        <rFont val="Times New Roman"/>
        <family val="1"/>
      </rPr>
      <t>6%O</t>
    </r>
    <r>
      <rPr>
        <vertAlign val="subscript"/>
        <sz val="12"/>
        <color indexed="8"/>
        <rFont val="Times New Roman"/>
        <family val="1"/>
      </rPr>
      <t>2</t>
    </r>
    <r>
      <rPr>
        <sz val="12"/>
        <color indexed="8"/>
        <rFont val="宋体"/>
        <family val="3"/>
        <charset val="134"/>
      </rPr>
      <t>干体积</t>
    </r>
    <phoneticPr fontId="1" type="noConversion"/>
  </si>
  <si>
    <r>
      <t>Mso</t>
    </r>
    <r>
      <rPr>
        <vertAlign val="subscript"/>
        <sz val="9"/>
        <color indexed="8"/>
        <rFont val="宋体"/>
        <family val="3"/>
        <charset val="134"/>
      </rPr>
      <t>2</t>
    </r>
    <phoneticPr fontId="1" type="noConversion"/>
  </si>
  <si>
    <t>kg/h</t>
    <phoneticPr fontId="1" type="noConversion"/>
  </si>
  <si>
    <r>
      <t>2*K*Bj*S</t>
    </r>
    <r>
      <rPr>
        <sz val="9"/>
        <color indexed="8"/>
        <rFont val="宋体"/>
        <family val="3"/>
        <charset val="134"/>
      </rPr>
      <t>t,</t>
    </r>
    <r>
      <rPr>
        <sz val="9"/>
        <color indexed="8"/>
        <rFont val="宋体"/>
        <family val="3"/>
        <charset val="134"/>
      </rPr>
      <t>ar/100</t>
    </r>
    <phoneticPr fontId="1" type="noConversion"/>
  </si>
  <si>
    <t>收到基硫份</t>
    <phoneticPr fontId="1" type="noConversion"/>
  </si>
  <si>
    <t>St,ar</t>
    <phoneticPr fontId="1" type="noConversion"/>
  </si>
  <si>
    <t>%</t>
    <phoneticPr fontId="1" type="noConversion"/>
  </si>
  <si>
    <t>已知</t>
    <phoneticPr fontId="1" type="noConversion"/>
  </si>
  <si>
    <t>Bj</t>
    <phoneticPr fontId="1" type="noConversion"/>
  </si>
  <si>
    <t>煤灰渣量计算表</t>
    <phoneticPr fontId="1" type="noConversion"/>
  </si>
  <si>
    <t>K</t>
    <phoneticPr fontId="1" type="noConversion"/>
  </si>
  <si>
    <r>
      <t>V</t>
    </r>
    <r>
      <rPr>
        <vertAlign val="superscript"/>
        <sz val="9"/>
        <color indexed="8"/>
        <rFont val="宋体"/>
        <family val="3"/>
        <charset val="134"/>
      </rPr>
      <t>N</t>
    </r>
    <r>
      <rPr>
        <sz val="9"/>
        <color indexed="8"/>
        <rFont val="宋体"/>
        <family val="3"/>
        <charset val="134"/>
      </rPr>
      <t>xf</t>
    </r>
    <phoneticPr fontId="1" type="noConversion"/>
  </si>
  <si>
    <t>Nm3/h</t>
    <phoneticPr fontId="1" type="noConversion"/>
  </si>
  <si>
    <t>烟风量计算表</t>
    <phoneticPr fontId="1" type="noConversion"/>
  </si>
  <si>
    <t>未脱硫前SO2浓度（标态）</t>
    <phoneticPr fontId="1" type="noConversion"/>
  </si>
  <si>
    <r>
      <t>C'</t>
    </r>
    <r>
      <rPr>
        <vertAlign val="subscript"/>
        <sz val="9"/>
        <color indexed="8"/>
        <rFont val="宋体"/>
        <family val="3"/>
        <charset val="134"/>
      </rPr>
      <t>SO2</t>
    </r>
    <phoneticPr fontId="1" type="noConversion"/>
  </si>
  <si>
    <t>mg/Nm3</t>
    <phoneticPr fontId="1" type="noConversion"/>
  </si>
  <si>
    <r>
      <t>Mso</t>
    </r>
    <r>
      <rPr>
        <vertAlign val="subscript"/>
        <sz val="9"/>
        <color indexed="8"/>
        <rFont val="宋体"/>
        <family val="3"/>
        <charset val="134"/>
      </rPr>
      <t>2</t>
    </r>
    <r>
      <rPr>
        <sz val="9"/>
        <color indexed="8"/>
        <rFont val="宋体"/>
        <family val="3"/>
        <charset val="134"/>
      </rPr>
      <t>/</t>
    </r>
    <r>
      <rPr>
        <sz val="9"/>
        <color indexed="8"/>
        <rFont val="宋体"/>
        <family val="3"/>
        <charset val="134"/>
      </rPr>
      <t>V</t>
    </r>
    <r>
      <rPr>
        <vertAlign val="superscript"/>
        <sz val="9"/>
        <color indexed="8"/>
        <rFont val="宋体"/>
        <family val="3"/>
        <charset val="134"/>
      </rPr>
      <t>N</t>
    </r>
    <r>
      <rPr>
        <sz val="9"/>
        <color indexed="8"/>
        <rFont val="宋体"/>
        <family val="3"/>
        <charset val="134"/>
      </rPr>
      <t>xf*10</t>
    </r>
    <r>
      <rPr>
        <vertAlign val="superscript"/>
        <sz val="9"/>
        <color indexed="8"/>
        <rFont val="宋体"/>
        <family val="3"/>
        <charset val="134"/>
      </rPr>
      <t>6</t>
    </r>
    <phoneticPr fontId="1" type="noConversion"/>
  </si>
  <si>
    <t>脱硫效率</t>
    <phoneticPr fontId="1" type="noConversion"/>
  </si>
  <si>
    <t>η</t>
    <phoneticPr fontId="1" type="noConversion"/>
  </si>
  <si>
    <t>脱硫后SO2浓度（标态）</t>
    <phoneticPr fontId="1" type="noConversion"/>
  </si>
  <si>
    <r>
      <t>C</t>
    </r>
    <r>
      <rPr>
        <vertAlign val="subscript"/>
        <sz val="9"/>
        <color indexed="8"/>
        <rFont val="宋体"/>
        <family val="3"/>
        <charset val="134"/>
      </rPr>
      <t>SO2</t>
    </r>
    <phoneticPr fontId="1" type="noConversion"/>
  </si>
  <si>
    <r>
      <t>(1-</t>
    </r>
    <r>
      <rPr>
        <sz val="9"/>
        <color indexed="8"/>
        <rFont val="宋体"/>
        <family val="3"/>
        <charset val="134"/>
      </rPr>
      <t>η)</t>
    </r>
    <r>
      <rPr>
        <sz val="9"/>
        <color indexed="8"/>
        <rFont val="宋体"/>
        <family val="3"/>
        <charset val="134"/>
      </rPr>
      <t>C'</t>
    </r>
    <r>
      <rPr>
        <vertAlign val="subscript"/>
        <sz val="9"/>
        <color indexed="8"/>
        <rFont val="宋体"/>
        <family val="3"/>
        <charset val="134"/>
      </rPr>
      <t>SO2</t>
    </r>
    <phoneticPr fontId="1" type="noConversion"/>
  </si>
  <si>
    <r>
      <t>(1-</t>
    </r>
    <r>
      <rPr>
        <sz val="9"/>
        <color indexed="8"/>
        <rFont val="宋体"/>
        <family val="3"/>
        <charset val="134"/>
      </rPr>
      <t>η)</t>
    </r>
    <r>
      <rPr>
        <sz val="9"/>
        <color indexed="8"/>
        <rFont val="宋体"/>
        <family val="3"/>
        <charset val="134"/>
      </rPr>
      <t>M</t>
    </r>
    <r>
      <rPr>
        <vertAlign val="subscript"/>
        <sz val="9"/>
        <color indexed="8"/>
        <rFont val="宋体"/>
        <family val="3"/>
        <charset val="134"/>
      </rPr>
      <t>SO</t>
    </r>
    <r>
      <rPr>
        <vertAlign val="subscript"/>
        <sz val="9"/>
        <color indexed="8"/>
        <rFont val="宋体"/>
        <family val="3"/>
        <charset val="134"/>
      </rPr>
      <t>2</t>
    </r>
    <r>
      <rPr>
        <vertAlign val="subscript"/>
        <sz val="9"/>
        <color indexed="8"/>
        <rFont val="宋体"/>
        <family val="3"/>
        <charset val="134"/>
      </rPr>
      <t xml:space="preserve"> </t>
    </r>
    <r>
      <rPr>
        <sz val="9"/>
        <color indexed="8"/>
        <rFont val="宋体"/>
        <family val="3"/>
        <charset val="134"/>
      </rPr>
      <t>或 C</t>
    </r>
    <r>
      <rPr>
        <vertAlign val="subscript"/>
        <sz val="9"/>
        <color indexed="8"/>
        <rFont val="宋体"/>
        <family val="3"/>
        <charset val="134"/>
      </rPr>
      <t>SO2</t>
    </r>
    <r>
      <rPr>
        <sz val="9"/>
        <color indexed="8"/>
        <rFont val="宋体"/>
        <family val="3"/>
        <charset val="134"/>
      </rPr>
      <t>*V</t>
    </r>
    <r>
      <rPr>
        <vertAlign val="superscript"/>
        <sz val="9"/>
        <color indexed="8"/>
        <rFont val="宋体"/>
        <family val="3"/>
        <charset val="134"/>
      </rPr>
      <t>N</t>
    </r>
    <r>
      <rPr>
        <sz val="9"/>
        <color indexed="8"/>
        <rFont val="宋体"/>
        <family val="3"/>
        <charset val="134"/>
      </rPr>
      <t>xf</t>
    </r>
    <phoneticPr fontId="1" type="noConversion"/>
  </si>
  <si>
    <t>脱硫前烟气中的SO2含量</t>
    <phoneticPr fontId="1" type="noConversion"/>
  </si>
  <si>
    <t>脱硫后SO2排放量（标态）</t>
    <phoneticPr fontId="1" type="noConversion"/>
  </si>
  <si>
    <t>引风机进口烟气容积流量（标况）</t>
    <phoneticPr fontId="1" type="noConversion"/>
  </si>
  <si>
    <t>mg/Nm3</t>
    <phoneticPr fontId="1" type="noConversion"/>
  </si>
  <si>
    <t>一</t>
    <phoneticPr fontId="1" type="noConversion"/>
  </si>
  <si>
    <t>脱硫前烟气SO2含量</t>
    <phoneticPr fontId="1" type="noConversion"/>
  </si>
  <si>
    <t>脱硝前烟气Nox</t>
    <phoneticPr fontId="1" type="noConversion"/>
  </si>
  <si>
    <r>
      <t>C'</t>
    </r>
    <r>
      <rPr>
        <vertAlign val="subscript"/>
        <sz val="12"/>
        <color indexed="8"/>
        <rFont val="宋体"/>
        <family val="3"/>
        <charset val="134"/>
      </rPr>
      <t>NOX</t>
    </r>
    <phoneticPr fontId="1" type="noConversion"/>
  </si>
  <si>
    <r>
      <t>mg/Nm</t>
    </r>
    <r>
      <rPr>
        <vertAlign val="superscript"/>
        <sz val="12"/>
        <color indexed="8"/>
        <rFont val="宋体"/>
        <family val="3"/>
        <charset val="134"/>
      </rPr>
      <t>3</t>
    </r>
    <phoneticPr fontId="1" type="noConversion"/>
  </si>
  <si>
    <t>引风机进口烟气容积流量（标况）</t>
    <phoneticPr fontId="1" type="noConversion"/>
  </si>
  <si>
    <t>脱硝效率(总效率)</t>
    <phoneticPr fontId="1" type="noConversion"/>
  </si>
  <si>
    <r>
      <t>M</t>
    </r>
    <r>
      <rPr>
        <vertAlign val="subscript"/>
        <sz val="12"/>
        <color indexed="8"/>
        <rFont val="宋体"/>
        <family val="3"/>
        <charset val="134"/>
      </rPr>
      <t>NOX</t>
    </r>
    <phoneticPr fontId="1" type="noConversion"/>
  </si>
  <si>
    <r>
      <t>C'</t>
    </r>
    <r>
      <rPr>
        <vertAlign val="subscript"/>
        <sz val="12"/>
        <color indexed="8"/>
        <rFont val="宋体"/>
        <family val="3"/>
        <charset val="134"/>
      </rPr>
      <t>NOX*</t>
    </r>
    <r>
      <rPr>
        <sz val="12"/>
        <color indexed="8"/>
        <rFont val="宋体"/>
        <family val="3"/>
        <charset val="134"/>
      </rPr>
      <t>V</t>
    </r>
    <r>
      <rPr>
        <vertAlign val="superscript"/>
        <sz val="12"/>
        <color indexed="8"/>
        <rFont val="宋体"/>
        <family val="3"/>
        <charset val="134"/>
      </rPr>
      <t>N</t>
    </r>
    <r>
      <rPr>
        <vertAlign val="subscript"/>
        <sz val="12"/>
        <color indexed="8"/>
        <rFont val="宋体"/>
        <family val="3"/>
        <charset val="134"/>
      </rPr>
      <t>xf*</t>
    </r>
    <r>
      <rPr>
        <sz val="12"/>
        <color indexed="8"/>
        <rFont val="宋体"/>
        <family val="3"/>
        <charset val="134"/>
      </rPr>
      <t>10</t>
    </r>
    <r>
      <rPr>
        <vertAlign val="superscript"/>
        <sz val="12"/>
        <color indexed="8"/>
        <rFont val="宋体"/>
        <family val="3"/>
        <charset val="134"/>
      </rPr>
      <t>-6</t>
    </r>
    <phoneticPr fontId="1" type="noConversion"/>
  </si>
  <si>
    <r>
      <t>脱硝前NO</t>
    </r>
    <r>
      <rPr>
        <b/>
        <vertAlign val="subscript"/>
        <sz val="12"/>
        <color indexed="8"/>
        <rFont val="宋体"/>
        <family val="3"/>
        <charset val="134"/>
      </rPr>
      <t>X</t>
    </r>
    <r>
      <rPr>
        <sz val="12"/>
        <color indexed="8"/>
        <rFont val="宋体"/>
        <family val="3"/>
        <charset val="134"/>
      </rPr>
      <t>浓度</t>
    </r>
    <phoneticPr fontId="1" type="noConversion"/>
  </si>
  <si>
    <r>
      <t>脱硝前NO</t>
    </r>
    <r>
      <rPr>
        <vertAlign val="subscript"/>
        <sz val="12"/>
        <color indexed="8"/>
        <rFont val="宋体"/>
        <family val="3"/>
        <charset val="134"/>
      </rPr>
      <t>X</t>
    </r>
    <r>
      <rPr>
        <sz val="12"/>
        <color indexed="8"/>
        <rFont val="宋体"/>
        <family val="3"/>
        <charset val="134"/>
      </rPr>
      <t>排放量</t>
    </r>
    <phoneticPr fontId="1" type="noConversion"/>
  </si>
  <si>
    <r>
      <t>C</t>
    </r>
    <r>
      <rPr>
        <vertAlign val="subscript"/>
        <sz val="12"/>
        <color indexed="8"/>
        <rFont val="宋体"/>
        <family val="3"/>
        <charset val="134"/>
      </rPr>
      <t>NOX</t>
    </r>
    <phoneticPr fontId="1" type="noConversion"/>
  </si>
  <si>
    <r>
      <t>(1-</t>
    </r>
    <r>
      <rPr>
        <sz val="9"/>
        <color indexed="8"/>
        <rFont val="宋体"/>
        <family val="3"/>
        <charset val="134"/>
      </rPr>
      <t>η)C'NOX</t>
    </r>
    <phoneticPr fontId="1" type="noConversion"/>
  </si>
  <si>
    <r>
      <t>脱硝后NO</t>
    </r>
    <r>
      <rPr>
        <vertAlign val="subscript"/>
        <sz val="12"/>
        <color indexed="8"/>
        <rFont val="宋体"/>
        <family val="3"/>
        <charset val="134"/>
      </rPr>
      <t>X</t>
    </r>
    <r>
      <rPr>
        <sz val="12"/>
        <color indexed="8"/>
        <rFont val="宋体"/>
        <family val="3"/>
        <charset val="134"/>
      </rPr>
      <t>浓度</t>
    </r>
    <phoneticPr fontId="1" type="noConversion"/>
  </si>
  <si>
    <r>
      <t>C"</t>
    </r>
    <r>
      <rPr>
        <vertAlign val="subscript"/>
        <sz val="12"/>
        <color indexed="8"/>
        <rFont val="宋体"/>
        <family val="3"/>
        <charset val="134"/>
      </rPr>
      <t>NOX</t>
    </r>
    <phoneticPr fontId="1" type="noConversion"/>
  </si>
  <si>
    <r>
      <t>M</t>
    </r>
    <r>
      <rPr>
        <sz val="12"/>
        <color indexed="8"/>
        <rFont val="宋体"/>
        <family val="3"/>
        <charset val="134"/>
      </rPr>
      <t>'</t>
    </r>
    <r>
      <rPr>
        <vertAlign val="subscript"/>
        <sz val="12"/>
        <color indexed="8"/>
        <rFont val="宋体"/>
        <family val="3"/>
        <charset val="134"/>
      </rPr>
      <t>NOX</t>
    </r>
    <phoneticPr fontId="1" type="noConversion"/>
  </si>
  <si>
    <r>
      <t>(1-η)M</t>
    </r>
    <r>
      <rPr>
        <vertAlign val="subscript"/>
        <sz val="12"/>
        <color indexed="8"/>
        <rFont val="宋体"/>
        <family val="3"/>
        <charset val="134"/>
      </rPr>
      <t>NOX</t>
    </r>
    <phoneticPr fontId="1" type="noConversion"/>
  </si>
  <si>
    <r>
      <t>环保要求NO</t>
    </r>
    <r>
      <rPr>
        <vertAlign val="subscript"/>
        <sz val="12"/>
        <color indexed="8"/>
        <rFont val="宋体"/>
        <family val="3"/>
        <charset val="134"/>
      </rPr>
      <t>X</t>
    </r>
    <r>
      <rPr>
        <sz val="12"/>
        <color indexed="8"/>
        <rFont val="宋体"/>
        <family val="3"/>
        <charset val="134"/>
      </rPr>
      <t>的排放浓度</t>
    </r>
    <phoneticPr fontId="1" type="noConversion"/>
  </si>
  <si>
    <r>
      <t>脱硝后NO</t>
    </r>
    <r>
      <rPr>
        <vertAlign val="subscript"/>
        <sz val="12"/>
        <color indexed="8"/>
        <rFont val="宋体"/>
        <family val="3"/>
        <charset val="134"/>
      </rPr>
      <t>X</t>
    </r>
    <r>
      <rPr>
        <sz val="12"/>
        <color indexed="8"/>
        <rFont val="宋体"/>
        <family val="3"/>
        <charset val="134"/>
      </rPr>
      <t>排放量</t>
    </r>
    <phoneticPr fontId="1" type="noConversion"/>
  </si>
  <si>
    <t>四</t>
    <phoneticPr fontId="1" type="noConversion"/>
  </si>
  <si>
    <t>炉内脱硝SNCR</t>
    <phoneticPr fontId="1" type="noConversion"/>
  </si>
  <si>
    <t>η'</t>
    <phoneticPr fontId="1" type="noConversion"/>
  </si>
  <si>
    <t>(Mnox-M'nox)*η'</t>
    <phoneticPr fontId="1" type="noConversion"/>
  </si>
  <si>
    <t>炉内脱硝百分比</t>
    <phoneticPr fontId="1" type="noConversion"/>
  </si>
  <si>
    <t>炉内脱硝量</t>
    <phoneticPr fontId="1" type="noConversion"/>
  </si>
  <si>
    <t>kmol/h</t>
    <phoneticPr fontId="1" type="noConversion"/>
  </si>
  <si>
    <r>
      <t>炉内脱硝后NO</t>
    </r>
    <r>
      <rPr>
        <vertAlign val="subscript"/>
        <sz val="12"/>
        <color indexed="8"/>
        <rFont val="宋体"/>
        <family val="3"/>
        <charset val="134"/>
      </rPr>
      <t>X</t>
    </r>
    <r>
      <rPr>
        <sz val="12"/>
        <color indexed="8"/>
        <rFont val="宋体"/>
        <family val="3"/>
        <charset val="134"/>
      </rPr>
      <t>排放量</t>
    </r>
    <phoneticPr fontId="1" type="noConversion"/>
  </si>
  <si>
    <t>炉内脱硝摩尔量</t>
    <phoneticPr fontId="1" type="noConversion"/>
  </si>
  <si>
    <t>氨逃逸率</t>
    <phoneticPr fontId="1" type="noConversion"/>
  </si>
  <si>
    <t>氨逃逸量</t>
    <phoneticPr fontId="1" type="noConversion"/>
  </si>
  <si>
    <t>逃逸氨折算尿素量</t>
    <phoneticPr fontId="1" type="noConversion"/>
  </si>
  <si>
    <r>
      <t>NH</t>
    </r>
    <r>
      <rPr>
        <vertAlign val="subscript"/>
        <sz val="12"/>
        <color indexed="8"/>
        <rFont val="宋体"/>
        <family val="3"/>
        <charset val="134"/>
      </rPr>
      <t>3</t>
    </r>
    <r>
      <rPr>
        <sz val="12"/>
        <color indexed="8"/>
        <rFont val="宋体"/>
        <family val="3"/>
        <charset val="134"/>
      </rPr>
      <t>/NO</t>
    </r>
    <r>
      <rPr>
        <vertAlign val="subscript"/>
        <sz val="12"/>
        <color indexed="8"/>
        <rFont val="宋体"/>
        <family val="3"/>
        <charset val="134"/>
      </rPr>
      <t>X</t>
    </r>
    <r>
      <rPr>
        <sz val="12"/>
        <color indexed="8"/>
        <rFont val="宋体"/>
        <family val="3"/>
        <charset val="134"/>
      </rPr>
      <t>摩尔比/2</t>
    </r>
    <phoneticPr fontId="1" type="noConversion"/>
  </si>
  <si>
    <t>理论尿素消耗量+逃逸氨折算尿素量</t>
    <phoneticPr fontId="1" type="noConversion"/>
  </si>
  <si>
    <r>
      <t>NH</t>
    </r>
    <r>
      <rPr>
        <vertAlign val="subscript"/>
        <sz val="12"/>
        <color indexed="8"/>
        <rFont val="宋体"/>
        <family val="3"/>
        <charset val="134"/>
      </rPr>
      <t>3</t>
    </r>
    <r>
      <rPr>
        <sz val="12"/>
        <color indexed="8"/>
        <rFont val="宋体"/>
        <family val="3"/>
        <charset val="134"/>
      </rPr>
      <t>/NO</t>
    </r>
    <r>
      <rPr>
        <vertAlign val="subscript"/>
        <sz val="12"/>
        <color indexed="8"/>
        <rFont val="宋体"/>
        <family val="3"/>
        <charset val="134"/>
      </rPr>
      <t>X</t>
    </r>
    <r>
      <rPr>
        <sz val="12"/>
        <color indexed="8"/>
        <rFont val="宋体"/>
        <family val="3"/>
        <charset val="134"/>
      </rPr>
      <t>摩尔比</t>
    </r>
    <phoneticPr fontId="1" type="noConversion"/>
  </si>
  <si>
    <r>
      <t>尿素/NO</t>
    </r>
    <r>
      <rPr>
        <vertAlign val="subscript"/>
        <sz val="12"/>
        <color indexed="8"/>
        <rFont val="宋体"/>
        <family val="3"/>
        <charset val="134"/>
      </rPr>
      <t>X</t>
    </r>
    <r>
      <rPr>
        <sz val="12"/>
        <color indexed="8"/>
        <rFont val="宋体"/>
        <family val="3"/>
        <charset val="134"/>
      </rPr>
      <t>摩尔比</t>
    </r>
    <phoneticPr fontId="1" type="noConversion"/>
  </si>
  <si>
    <r>
      <t>尿素/NO</t>
    </r>
    <r>
      <rPr>
        <vertAlign val="subscript"/>
        <sz val="12"/>
        <color indexed="8"/>
        <rFont val="宋体"/>
        <family val="3"/>
        <charset val="134"/>
      </rPr>
      <t>X</t>
    </r>
    <r>
      <rPr>
        <sz val="12"/>
        <color indexed="8"/>
        <rFont val="宋体"/>
        <family val="3"/>
        <charset val="134"/>
      </rPr>
      <t>式量比</t>
    </r>
    <phoneticPr fontId="1" type="noConversion"/>
  </si>
  <si>
    <t>理论尿素消耗量</t>
    <phoneticPr fontId="1" type="noConversion"/>
  </si>
  <si>
    <t>尿素用量(一台炉)</t>
    <phoneticPr fontId="1" type="noConversion"/>
  </si>
  <si>
    <t>尿素溶液消耗水量(一台炉)</t>
    <phoneticPr fontId="1" type="noConversion"/>
  </si>
  <si>
    <t xml:space="preserve">  尿素仓库天数</t>
    <phoneticPr fontId="1" type="noConversion"/>
  </si>
  <si>
    <t>t</t>
    <phoneticPr fontId="1" type="noConversion"/>
  </si>
  <si>
    <t xml:space="preserve">  尿素仓库容量</t>
    <phoneticPr fontId="1" type="noConversion"/>
  </si>
  <si>
    <t>αf</t>
    <phoneticPr fontId="1" type="noConversion"/>
  </si>
  <si>
    <t>Gaf</t>
    <phoneticPr fontId="1" type="noConversion"/>
  </si>
  <si>
    <t>αf*Gzh</t>
    <phoneticPr fontId="1" type="noConversion"/>
  </si>
  <si>
    <r>
      <t>V</t>
    </r>
    <r>
      <rPr>
        <vertAlign val="superscript"/>
        <sz val="12"/>
        <rFont val="宋体"/>
        <family val="3"/>
        <charset val="134"/>
      </rPr>
      <t>N</t>
    </r>
    <r>
      <rPr>
        <sz val="12"/>
        <rFont val="宋体"/>
        <family val="3"/>
        <charset val="134"/>
      </rPr>
      <t>ycj</t>
    </r>
    <phoneticPr fontId="1" type="noConversion"/>
  </si>
  <si>
    <r>
      <t>Nm</t>
    </r>
    <r>
      <rPr>
        <vertAlign val="superscript"/>
        <sz val="12"/>
        <rFont val="宋体"/>
        <family val="3"/>
        <charset val="134"/>
      </rPr>
      <t>3</t>
    </r>
    <r>
      <rPr>
        <sz val="12"/>
        <rFont val="宋体"/>
        <family val="3"/>
        <charset val="134"/>
      </rPr>
      <t>/h</t>
    </r>
    <phoneticPr fontId="1" type="noConversion"/>
  </si>
  <si>
    <t>Vycj</t>
    <phoneticPr fontId="1" type="noConversion"/>
  </si>
  <si>
    <r>
      <t>m</t>
    </r>
    <r>
      <rPr>
        <vertAlign val="superscript"/>
        <sz val="12"/>
        <rFont val="宋体"/>
        <family val="3"/>
        <charset val="134"/>
      </rPr>
      <t>3</t>
    </r>
    <r>
      <rPr>
        <sz val="12"/>
        <rFont val="宋体"/>
        <family val="3"/>
        <charset val="134"/>
      </rPr>
      <t>/h</t>
    </r>
    <phoneticPr fontId="1" type="noConversion"/>
  </si>
  <si>
    <t>Ci</t>
    <phoneticPr fontId="1" type="noConversion"/>
  </si>
  <si>
    <r>
      <t>Gaf*10</t>
    </r>
    <r>
      <rPr>
        <vertAlign val="superscript"/>
        <sz val="12"/>
        <rFont val="宋体"/>
        <family val="3"/>
        <charset val="134"/>
      </rPr>
      <t>6</t>
    </r>
    <r>
      <rPr>
        <sz val="12"/>
        <rFont val="宋体"/>
        <family val="3"/>
        <charset val="134"/>
      </rPr>
      <t>/V</t>
    </r>
    <r>
      <rPr>
        <vertAlign val="superscript"/>
        <sz val="12"/>
        <rFont val="宋体"/>
        <family val="3"/>
        <charset val="134"/>
      </rPr>
      <t>N</t>
    </r>
    <r>
      <rPr>
        <sz val="12"/>
        <rFont val="宋体"/>
        <family val="3"/>
        <charset val="134"/>
      </rPr>
      <t>ycj</t>
    </r>
    <phoneticPr fontId="1" type="noConversion"/>
  </si>
  <si>
    <t>C'i</t>
    <phoneticPr fontId="1" type="noConversion"/>
  </si>
  <si>
    <r>
      <t>mg/m</t>
    </r>
    <r>
      <rPr>
        <vertAlign val="superscript"/>
        <sz val="12"/>
        <color indexed="8"/>
        <rFont val="宋体"/>
        <family val="3"/>
        <charset val="134"/>
      </rPr>
      <t>3</t>
    </r>
    <phoneticPr fontId="1" type="noConversion"/>
  </si>
  <si>
    <r>
      <t>Gaf*10</t>
    </r>
    <r>
      <rPr>
        <vertAlign val="superscript"/>
        <sz val="12"/>
        <rFont val="宋体"/>
        <family val="3"/>
        <charset val="134"/>
      </rPr>
      <t>6</t>
    </r>
    <r>
      <rPr>
        <sz val="12"/>
        <rFont val="宋体"/>
        <family val="3"/>
        <charset val="134"/>
      </rPr>
      <t>/Vycj</t>
    </r>
    <phoneticPr fontId="1" type="noConversion"/>
  </si>
  <si>
    <t>ηc</t>
    <phoneticPr fontId="1" type="noConversion"/>
  </si>
  <si>
    <t>Co</t>
    <phoneticPr fontId="1" type="noConversion"/>
  </si>
  <si>
    <t>Ci*（1-ηc）</t>
    <phoneticPr fontId="1" type="noConversion"/>
  </si>
  <si>
    <t>G'af</t>
    <phoneticPr fontId="1" type="noConversion"/>
  </si>
  <si>
    <t>Gaf*（1-ηc）</t>
    <phoneticPr fontId="1" type="noConversion"/>
  </si>
  <si>
    <t>Gaf*ηc</t>
    <phoneticPr fontId="1" type="noConversion"/>
  </si>
  <si>
    <t>Vxf</t>
    <phoneticPr fontId="1" type="noConversion"/>
  </si>
  <si>
    <r>
      <t>m</t>
    </r>
    <r>
      <rPr>
        <vertAlign val="superscript"/>
        <sz val="12"/>
        <color indexed="8"/>
        <rFont val="宋体"/>
        <family val="3"/>
        <charset val="134"/>
      </rPr>
      <t>3</t>
    </r>
    <r>
      <rPr>
        <sz val="12"/>
        <color indexed="8"/>
        <rFont val="宋体"/>
        <family val="3"/>
        <charset val="134"/>
      </rPr>
      <t>/h</t>
    </r>
    <phoneticPr fontId="1" type="noConversion"/>
  </si>
  <si>
    <r>
      <t>Gaf*（1-ηc）*10</t>
    </r>
    <r>
      <rPr>
        <vertAlign val="superscript"/>
        <sz val="12"/>
        <rFont val="宋体"/>
        <family val="3"/>
        <charset val="134"/>
      </rPr>
      <t>6</t>
    </r>
    <r>
      <rPr>
        <sz val="12"/>
        <rFont val="宋体"/>
        <family val="3"/>
        <charset val="134"/>
      </rPr>
      <t>/Vxf</t>
    </r>
    <phoneticPr fontId="1" type="noConversion"/>
  </si>
  <si>
    <t>一</t>
    <phoneticPr fontId="1" type="noConversion"/>
  </si>
  <si>
    <t>炉内喷钙脱硫</t>
    <phoneticPr fontId="1" type="noConversion"/>
  </si>
  <si>
    <t xml:space="preserve">  炉内脱硫百分比</t>
    <phoneticPr fontId="1" type="noConversion"/>
  </si>
  <si>
    <r>
      <t xml:space="preserve">  炉内脱硫后SO</t>
    </r>
    <r>
      <rPr>
        <vertAlign val="subscript"/>
        <sz val="12"/>
        <color indexed="8"/>
        <rFont val="宋体"/>
        <family val="3"/>
        <charset val="134"/>
      </rPr>
      <t>2</t>
    </r>
    <r>
      <rPr>
        <sz val="12"/>
        <color indexed="8"/>
        <rFont val="宋体"/>
        <family val="3"/>
        <charset val="134"/>
      </rPr>
      <t>浓度</t>
    </r>
    <phoneticPr fontId="1" type="noConversion"/>
  </si>
  <si>
    <r>
      <t>C</t>
    </r>
    <r>
      <rPr>
        <vertAlign val="subscript"/>
        <sz val="9"/>
        <color indexed="8"/>
        <rFont val="宋体"/>
        <family val="3"/>
        <charset val="134"/>
      </rPr>
      <t>SO2(炉内)</t>
    </r>
    <phoneticPr fontId="1" type="noConversion"/>
  </si>
  <si>
    <r>
      <t xml:space="preserve">  脱除SO</t>
    </r>
    <r>
      <rPr>
        <vertAlign val="subscript"/>
        <sz val="12"/>
        <color indexed="8"/>
        <rFont val="宋体"/>
        <family val="3"/>
        <charset val="134"/>
      </rPr>
      <t>2</t>
    </r>
    <r>
      <rPr>
        <sz val="12"/>
        <color indexed="8"/>
        <rFont val="宋体"/>
        <family val="3"/>
        <charset val="134"/>
      </rPr>
      <t>质量</t>
    </r>
    <phoneticPr fontId="1" type="noConversion"/>
  </si>
  <si>
    <r>
      <t xml:space="preserve">  脱除SO</t>
    </r>
    <r>
      <rPr>
        <vertAlign val="subscript"/>
        <sz val="12"/>
        <color indexed="8"/>
        <rFont val="宋体"/>
        <family val="3"/>
        <charset val="134"/>
      </rPr>
      <t>2</t>
    </r>
    <r>
      <rPr>
        <sz val="12"/>
        <color indexed="8"/>
        <rFont val="宋体"/>
        <family val="3"/>
        <charset val="134"/>
      </rPr>
      <t>摩尔量</t>
    </r>
    <phoneticPr fontId="1" type="noConversion"/>
  </si>
  <si>
    <r>
      <t>SO</t>
    </r>
    <r>
      <rPr>
        <vertAlign val="subscript"/>
        <sz val="12"/>
        <color indexed="8"/>
        <rFont val="宋体"/>
        <family val="3"/>
        <charset val="134"/>
      </rPr>
      <t>2</t>
    </r>
    <r>
      <rPr>
        <sz val="12"/>
        <color indexed="8"/>
        <rFont val="宋体"/>
        <family val="3"/>
        <charset val="134"/>
      </rPr>
      <t>式量64</t>
    </r>
    <phoneticPr fontId="1" type="noConversion"/>
  </si>
  <si>
    <t xml:space="preserve">  钙硫摩尔比</t>
    <phoneticPr fontId="1" type="noConversion"/>
  </si>
  <si>
    <r>
      <t xml:space="preserve">  反应所需CaCO</t>
    </r>
    <r>
      <rPr>
        <vertAlign val="subscript"/>
        <sz val="12"/>
        <color indexed="8"/>
        <rFont val="宋体"/>
        <family val="3"/>
        <charset val="134"/>
      </rPr>
      <t>3</t>
    </r>
    <r>
      <rPr>
        <sz val="12"/>
        <color indexed="8"/>
        <rFont val="宋体"/>
        <family val="3"/>
        <charset val="134"/>
      </rPr>
      <t>摩尔量</t>
    </r>
    <phoneticPr fontId="1" type="noConversion"/>
  </si>
  <si>
    <r>
      <t xml:space="preserve">  反应所需CaCO</t>
    </r>
    <r>
      <rPr>
        <vertAlign val="subscript"/>
        <sz val="12"/>
        <color indexed="8"/>
        <rFont val="宋体"/>
        <family val="3"/>
        <charset val="134"/>
      </rPr>
      <t>3</t>
    </r>
    <r>
      <rPr>
        <sz val="12"/>
        <color indexed="8"/>
        <rFont val="宋体"/>
        <family val="3"/>
        <charset val="134"/>
      </rPr>
      <t>质量</t>
    </r>
    <phoneticPr fontId="1" type="noConversion"/>
  </si>
  <si>
    <r>
      <t>CaCO</t>
    </r>
    <r>
      <rPr>
        <vertAlign val="subscript"/>
        <sz val="12"/>
        <color indexed="8"/>
        <rFont val="宋体"/>
        <family val="3"/>
        <charset val="134"/>
      </rPr>
      <t>3</t>
    </r>
    <r>
      <rPr>
        <sz val="12"/>
        <color indexed="8"/>
        <rFont val="宋体"/>
        <family val="3"/>
        <charset val="134"/>
      </rPr>
      <t>式量100</t>
    </r>
    <phoneticPr fontId="1" type="noConversion"/>
  </si>
  <si>
    <r>
      <t xml:space="preserve">  参加反应CaCO</t>
    </r>
    <r>
      <rPr>
        <vertAlign val="subscript"/>
        <sz val="12"/>
        <color indexed="8"/>
        <rFont val="宋体"/>
        <family val="3"/>
        <charset val="134"/>
      </rPr>
      <t>3</t>
    </r>
    <r>
      <rPr>
        <sz val="12"/>
        <color indexed="8"/>
        <rFont val="宋体"/>
        <family val="3"/>
        <charset val="134"/>
      </rPr>
      <t>质量</t>
    </r>
    <phoneticPr fontId="1" type="noConversion"/>
  </si>
  <si>
    <r>
      <t xml:space="preserve">  反应生成CaSO</t>
    </r>
    <r>
      <rPr>
        <vertAlign val="subscript"/>
        <sz val="12"/>
        <color indexed="8"/>
        <rFont val="宋体"/>
        <family val="3"/>
        <charset val="134"/>
      </rPr>
      <t>4</t>
    </r>
    <r>
      <rPr>
        <sz val="12"/>
        <color indexed="8"/>
        <rFont val="宋体"/>
        <family val="3"/>
        <charset val="134"/>
      </rPr>
      <t>质量</t>
    </r>
    <phoneticPr fontId="1" type="noConversion"/>
  </si>
  <si>
    <r>
      <t>CaCO</t>
    </r>
    <r>
      <rPr>
        <vertAlign val="subscript"/>
        <sz val="12"/>
        <color indexed="8"/>
        <rFont val="宋体"/>
        <family val="3"/>
        <charset val="134"/>
      </rPr>
      <t>3</t>
    </r>
    <r>
      <rPr>
        <sz val="12"/>
        <color indexed="8"/>
        <rFont val="宋体"/>
        <family val="3"/>
        <charset val="134"/>
      </rPr>
      <t>-〉CaSO</t>
    </r>
    <r>
      <rPr>
        <vertAlign val="subscript"/>
        <sz val="12"/>
        <color indexed="8"/>
        <rFont val="宋体"/>
        <family val="3"/>
        <charset val="134"/>
      </rPr>
      <t>4</t>
    </r>
    <phoneticPr fontId="1" type="noConversion"/>
  </si>
  <si>
    <t xml:space="preserve">  反应后质量增加</t>
    <phoneticPr fontId="1" type="noConversion"/>
  </si>
  <si>
    <t xml:space="preserve">  石灰石纯度</t>
    <phoneticPr fontId="1" type="noConversion"/>
  </si>
  <si>
    <t xml:space="preserve">  石灰石耗量</t>
    <phoneticPr fontId="1" type="noConversion"/>
  </si>
  <si>
    <t xml:space="preserve">  炉内脱硫产生的灰渣量</t>
    <phoneticPr fontId="1" type="noConversion"/>
  </si>
  <si>
    <t>炉内喷钙灰渣总量</t>
    <phoneticPr fontId="1" type="noConversion"/>
  </si>
  <si>
    <t>除尘器（烟囱）出口烟气浓度（标况）</t>
    <phoneticPr fontId="1" type="noConversion"/>
  </si>
  <si>
    <t>除尘器（烟囱）出口烟气飞灰量（标况）</t>
    <phoneticPr fontId="1" type="noConversion"/>
  </si>
  <si>
    <t>除尘器下灰量</t>
    <phoneticPr fontId="1" type="noConversion"/>
  </si>
  <si>
    <t>引风机进口烟气容积量(实态）</t>
    <phoneticPr fontId="1" type="noConversion"/>
  </si>
  <si>
    <t>除尘器进口处烟气浓度(实态）</t>
    <phoneticPr fontId="1" type="noConversion"/>
  </si>
  <si>
    <t>标况下除尘器进口烟气浓度</t>
    <phoneticPr fontId="1" type="noConversion"/>
  </si>
  <si>
    <t>除尘器入口（锅炉出口）飞灰量</t>
    <phoneticPr fontId="1" type="noConversion"/>
  </si>
  <si>
    <r>
      <t>灰渣总量</t>
    </r>
    <r>
      <rPr>
        <sz val="12"/>
        <color indexed="8"/>
        <rFont val="宋体"/>
        <family val="3"/>
        <charset val="134"/>
      </rPr>
      <t>(炉内脱硫后)</t>
    </r>
    <phoneticPr fontId="1" type="noConversion"/>
  </si>
  <si>
    <t>标况下湿空气密度</t>
  </si>
  <si>
    <t>烟囱内烟气平均温度</t>
  </si>
  <si>
    <t>——</t>
  </si>
  <si>
    <t>锅炉日利用小时数</t>
    <phoneticPr fontId="14" type="noConversion"/>
  </si>
  <si>
    <t>Hd</t>
    <phoneticPr fontId="14" type="noConversion"/>
  </si>
  <si>
    <t>h</t>
    <phoneticPr fontId="14" type="noConversion"/>
  </si>
  <si>
    <t>Qd</t>
    <phoneticPr fontId="14" type="noConversion"/>
  </si>
  <si>
    <t>t/d</t>
    <phoneticPr fontId="14" type="noConversion"/>
  </si>
  <si>
    <t>Bj*Hd</t>
    <phoneticPr fontId="14" type="noConversion"/>
  </si>
  <si>
    <t>锅炉年利用小时数</t>
    <phoneticPr fontId="14" type="noConversion"/>
  </si>
  <si>
    <t>Ha</t>
    <phoneticPr fontId="14" type="noConversion"/>
  </si>
  <si>
    <t>Qa</t>
    <phoneticPr fontId="14" type="noConversion"/>
  </si>
  <si>
    <t>Bj*Ha</t>
    <phoneticPr fontId="14" type="noConversion"/>
  </si>
  <si>
    <t>Kb</t>
    <phoneticPr fontId="14" type="noConversion"/>
  </si>
  <si>
    <t>Md</t>
    <phoneticPr fontId="14" type="noConversion"/>
  </si>
  <si>
    <t>t/d</t>
    <phoneticPr fontId="14" type="noConversion"/>
  </si>
  <si>
    <t>Kb*Qa*Hd/Ha</t>
    <phoneticPr fontId="14" type="noConversion"/>
  </si>
  <si>
    <t>T</t>
    <phoneticPr fontId="14" type="noConversion"/>
  </si>
  <si>
    <t>一</t>
    <phoneticPr fontId="14" type="noConversion"/>
  </si>
  <si>
    <t>除尘器计算</t>
    <phoneticPr fontId="14" type="noConversion"/>
  </si>
  <si>
    <t>二</t>
    <phoneticPr fontId="14" type="noConversion"/>
  </si>
  <si>
    <t>Gm</t>
    <phoneticPr fontId="1" type="noConversion"/>
  </si>
  <si>
    <t>t/h</t>
    <phoneticPr fontId="1" type="noConversion"/>
  </si>
  <si>
    <t>干灰堆积密度</t>
    <phoneticPr fontId="1" type="noConversion"/>
  </si>
  <si>
    <t>Pa</t>
    <phoneticPr fontId="1" type="noConversion"/>
  </si>
  <si>
    <t>t/m³</t>
    <phoneticPr fontId="1" type="noConversion"/>
  </si>
  <si>
    <t>K</t>
    <phoneticPr fontId="1" type="noConversion"/>
  </si>
  <si>
    <t>存灰时间</t>
    <phoneticPr fontId="1" type="noConversion"/>
  </si>
  <si>
    <t>T</t>
    <phoneticPr fontId="1" type="noConversion"/>
  </si>
  <si>
    <t>h</t>
    <phoneticPr fontId="1" type="noConversion"/>
  </si>
  <si>
    <t>Va</t>
    <phoneticPr fontId="1" type="noConversion"/>
  </si>
  <si>
    <t>m³</t>
    <phoneticPr fontId="1" type="noConversion"/>
  </si>
  <si>
    <t>T*Gm/Pa/K</t>
    <phoneticPr fontId="1" type="noConversion"/>
  </si>
  <si>
    <t>直径</t>
    <phoneticPr fontId="1" type="noConversion"/>
  </si>
  <si>
    <t>D</t>
    <phoneticPr fontId="1" type="noConversion"/>
  </si>
  <si>
    <t>m</t>
    <phoneticPr fontId="1" type="noConversion"/>
  </si>
  <si>
    <t>高度</t>
    <phoneticPr fontId="1" type="noConversion"/>
  </si>
  <si>
    <t>H</t>
    <phoneticPr fontId="1" type="noConversion"/>
  </si>
  <si>
    <t>除灰系统出力</t>
    <phoneticPr fontId="1" type="noConversion"/>
  </si>
  <si>
    <t>灰气比</t>
    <phoneticPr fontId="1" type="noConversion"/>
  </si>
  <si>
    <t>n</t>
    <phoneticPr fontId="1" type="noConversion"/>
  </si>
  <si>
    <t>输灰系统耗气量</t>
    <phoneticPr fontId="1" type="noConversion"/>
  </si>
  <si>
    <t>Q</t>
    <phoneticPr fontId="1" type="noConversion"/>
  </si>
  <si>
    <t>1.2*16.67*Gm/n/1.293</t>
    <phoneticPr fontId="1" type="noConversion"/>
  </si>
  <si>
    <t>Nm³/min</t>
    <phoneticPr fontId="1" type="noConversion"/>
  </si>
  <si>
    <t>三</t>
    <phoneticPr fontId="14" type="noConversion"/>
  </si>
  <si>
    <t>四</t>
    <phoneticPr fontId="14" type="noConversion"/>
  </si>
  <si>
    <t>渣量</t>
    <phoneticPr fontId="1" type="noConversion"/>
  </si>
  <si>
    <t>Gz</t>
    <phoneticPr fontId="1" type="noConversion"/>
  </si>
  <si>
    <t>冷渣机台数</t>
    <phoneticPr fontId="1" type="noConversion"/>
  </si>
  <si>
    <t>冷渣机的出力（单台）</t>
    <phoneticPr fontId="1" type="noConversion"/>
  </si>
  <si>
    <t>除渣系统出力</t>
    <phoneticPr fontId="1" type="noConversion"/>
  </si>
  <si>
    <t>单台锅炉</t>
    <phoneticPr fontId="1" type="noConversion"/>
  </si>
  <si>
    <t>Glz</t>
    <phoneticPr fontId="1" type="noConversion"/>
  </si>
  <si>
    <t>Gssm</t>
    <phoneticPr fontId="1" type="noConversion"/>
  </si>
  <si>
    <t>冷渣堆积密度</t>
    <phoneticPr fontId="1" type="noConversion"/>
  </si>
  <si>
    <t>渣库充满系数</t>
    <phoneticPr fontId="1" type="noConversion"/>
  </si>
  <si>
    <t>存渣时间</t>
    <phoneticPr fontId="1" type="noConversion"/>
  </si>
  <si>
    <t>未含有5m的操作平台</t>
    <phoneticPr fontId="1" type="noConversion"/>
  </si>
  <si>
    <t>富裕量</t>
    <phoneticPr fontId="14" type="noConversion"/>
  </si>
  <si>
    <t>k</t>
    <phoneticPr fontId="14" type="noConversion"/>
  </si>
  <si>
    <t>%</t>
    <phoneticPr fontId="14" type="noConversion"/>
  </si>
  <si>
    <t>给定</t>
    <phoneticPr fontId="14" type="noConversion"/>
  </si>
  <si>
    <t>给定</t>
    <phoneticPr fontId="14" type="noConversion"/>
  </si>
  <si>
    <t>机械效率</t>
    <phoneticPr fontId="14" type="noConversion"/>
  </si>
  <si>
    <r>
      <t>η</t>
    </r>
    <r>
      <rPr>
        <vertAlign val="subscript"/>
        <sz val="12"/>
        <rFont val="Times New Roman"/>
        <family val="1"/>
      </rPr>
      <t>m</t>
    </r>
    <phoneticPr fontId="14" type="noConversion"/>
  </si>
  <si>
    <t>发电机效率</t>
    <phoneticPr fontId="14" type="noConversion"/>
  </si>
  <si>
    <r>
      <t>η</t>
    </r>
    <r>
      <rPr>
        <vertAlign val="subscript"/>
        <sz val="12"/>
        <rFont val="Times New Roman"/>
        <family val="1"/>
      </rPr>
      <t>g</t>
    </r>
    <phoneticPr fontId="14" type="noConversion"/>
  </si>
  <si>
    <t>Mpa</t>
    <phoneticPr fontId="14" type="noConversion"/>
  </si>
  <si>
    <t>设计参数</t>
  </si>
  <si>
    <t>t/h</t>
    <phoneticPr fontId="14" type="noConversion"/>
  </si>
  <si>
    <t>热源产生主蒸汽总流量</t>
    <phoneticPr fontId="14" type="noConversion"/>
  </si>
  <si>
    <t>熵</t>
    <phoneticPr fontId="14" type="noConversion"/>
  </si>
  <si>
    <t>kJ/(kg·℃)</t>
    <phoneticPr fontId="14" type="noConversion"/>
  </si>
  <si>
    <t>Mpa</t>
    <phoneticPr fontId="14" type="noConversion"/>
  </si>
  <si>
    <t>熵</t>
    <phoneticPr fontId="14" type="noConversion"/>
  </si>
  <si>
    <t>S'</t>
    <phoneticPr fontId="14" type="noConversion"/>
  </si>
  <si>
    <t>kJ/(kg·℃)</t>
    <phoneticPr fontId="14" type="noConversion"/>
  </si>
  <si>
    <t>主蒸汽绝热等熵</t>
    <phoneticPr fontId="14" type="noConversion"/>
  </si>
  <si>
    <t>〔17〕</t>
  </si>
  <si>
    <t>焓</t>
    <phoneticPr fontId="14" type="noConversion"/>
  </si>
  <si>
    <t>kJ/kg</t>
    <phoneticPr fontId="14" type="noConversion"/>
  </si>
  <si>
    <t>〔18〕</t>
  </si>
  <si>
    <t>查表</t>
    <phoneticPr fontId="14" type="noConversion"/>
  </si>
  <si>
    <t>〔19〕</t>
  </si>
  <si>
    <t>P3</t>
    <phoneticPr fontId="14" type="noConversion"/>
  </si>
  <si>
    <t>Mpa</t>
    <phoneticPr fontId="14" type="noConversion"/>
  </si>
  <si>
    <t>湿冷：0.005～0.007 空冷0.015</t>
    <phoneticPr fontId="14" type="noConversion"/>
  </si>
  <si>
    <t>〔20〕</t>
  </si>
  <si>
    <t>Ipo</t>
    <phoneticPr fontId="14" type="noConversion"/>
  </si>
  <si>
    <t>汽轮机绝热等熵做功排汽焓值，查表</t>
    <phoneticPr fontId="14" type="noConversion"/>
  </si>
  <si>
    <t>〔21〕</t>
  </si>
  <si>
    <t>〔22〕</t>
  </si>
  <si>
    <t>〔23〕</t>
  </si>
  <si>
    <t>〔24〕</t>
  </si>
  <si>
    <t>饱和水焓</t>
    <phoneticPr fontId="14" type="noConversion"/>
  </si>
  <si>
    <t>℃</t>
    <phoneticPr fontId="14" type="noConversion"/>
  </si>
  <si>
    <t>t/h</t>
    <phoneticPr fontId="14" type="noConversion"/>
  </si>
  <si>
    <t>给定</t>
    <phoneticPr fontId="14" type="noConversion"/>
  </si>
  <si>
    <t>温度</t>
    <phoneticPr fontId="14" type="noConversion"/>
  </si>
  <si>
    <t>设计参数</t>
    <phoneticPr fontId="14" type="noConversion"/>
  </si>
  <si>
    <t>流量</t>
    <phoneticPr fontId="14" type="noConversion"/>
  </si>
  <si>
    <t>S'</t>
    <phoneticPr fontId="14" type="noConversion"/>
  </si>
  <si>
    <t>主蒸汽绝热等熵</t>
    <phoneticPr fontId="14" type="noConversion"/>
  </si>
  <si>
    <t>Izob</t>
    <phoneticPr fontId="14" type="noConversion"/>
  </si>
  <si>
    <t>KW</t>
    <phoneticPr fontId="14" type="noConversion"/>
  </si>
  <si>
    <t>GH2</t>
    <phoneticPr fontId="14" type="noConversion"/>
  </si>
  <si>
    <t>HH1至HH2功率</t>
    <phoneticPr fontId="14" type="noConversion"/>
  </si>
  <si>
    <t>D除氧    压力</t>
    <phoneticPr fontId="14" type="noConversion"/>
  </si>
  <si>
    <t>〔25〕</t>
  </si>
  <si>
    <t>GD</t>
    <phoneticPr fontId="14" type="noConversion"/>
  </si>
  <si>
    <t>〔26〕</t>
  </si>
  <si>
    <t>HH2至D功率</t>
    <phoneticPr fontId="14" type="noConversion"/>
  </si>
  <si>
    <t>P4</t>
    <phoneticPr fontId="14" type="noConversion"/>
  </si>
  <si>
    <t>〔27〕</t>
  </si>
  <si>
    <t>P2'</t>
    <phoneticPr fontId="14" type="noConversion"/>
  </si>
  <si>
    <t>〔28〕</t>
  </si>
  <si>
    <t>〔29〕</t>
  </si>
  <si>
    <t>〔30〕</t>
  </si>
  <si>
    <t>实际焓值</t>
    <phoneticPr fontId="14" type="noConversion"/>
  </si>
  <si>
    <t>〔32〕</t>
  </si>
  <si>
    <t>G2</t>
    <phoneticPr fontId="14" type="noConversion"/>
  </si>
  <si>
    <t>〔33〕</t>
  </si>
  <si>
    <t>P1</t>
    <phoneticPr fontId="14" type="noConversion"/>
  </si>
  <si>
    <t>〔34〕</t>
  </si>
  <si>
    <t>1#低加    压力</t>
    <phoneticPr fontId="14" type="noConversion"/>
  </si>
  <si>
    <t>〔35〕</t>
  </si>
  <si>
    <t>〔36〕</t>
  </si>
  <si>
    <t>〔37〕</t>
  </si>
  <si>
    <t>〔38〕</t>
  </si>
  <si>
    <t>GL2</t>
    <phoneticPr fontId="14" type="noConversion"/>
  </si>
  <si>
    <t>〔39〕</t>
  </si>
  <si>
    <t>P5</t>
    <phoneticPr fontId="14" type="noConversion"/>
  </si>
  <si>
    <t>〔40〕</t>
  </si>
  <si>
    <t>2#低加    压力</t>
    <phoneticPr fontId="14" type="noConversion"/>
  </si>
  <si>
    <t>〔41〕</t>
  </si>
  <si>
    <t>〔42〕</t>
  </si>
  <si>
    <t>〔43〕</t>
  </si>
  <si>
    <t>〔44〕</t>
  </si>
  <si>
    <t>〔45〕</t>
  </si>
  <si>
    <t>LH1至LH2功率</t>
    <phoneticPr fontId="14" type="noConversion"/>
  </si>
  <si>
    <t>P6</t>
    <phoneticPr fontId="14" type="noConversion"/>
  </si>
  <si>
    <t>〔46〕</t>
  </si>
  <si>
    <t>〔47〕</t>
  </si>
  <si>
    <t>〔48〕</t>
  </si>
  <si>
    <t>〔49〕</t>
  </si>
  <si>
    <t>实际焓</t>
    <phoneticPr fontId="14" type="noConversion"/>
  </si>
  <si>
    <t>Ipo‘</t>
    <phoneticPr fontId="14" type="noConversion"/>
  </si>
  <si>
    <t>kJ/kg</t>
  </si>
  <si>
    <t>〔50〕</t>
  </si>
  <si>
    <t>饱和蒸汽焓</t>
    <phoneticPr fontId="14" type="noConversion"/>
  </si>
  <si>
    <t>Ipog</t>
    <phoneticPr fontId="14" type="noConversion"/>
  </si>
  <si>
    <t>〔51〕</t>
  </si>
  <si>
    <t>Ipos</t>
    <phoneticPr fontId="14" type="noConversion"/>
  </si>
  <si>
    <t>〔52〕</t>
  </si>
  <si>
    <t>干度</t>
    <phoneticPr fontId="14" type="noConversion"/>
  </si>
  <si>
    <t>x</t>
    <phoneticPr fontId="14" type="noConversion"/>
  </si>
  <si>
    <t>〔53〕</t>
  </si>
  <si>
    <t>压力提高，排汽干度降低；</t>
    <phoneticPr fontId="14" type="noConversion"/>
  </si>
  <si>
    <t>〔54〕</t>
  </si>
  <si>
    <t>LH2至乏汽功率</t>
    <phoneticPr fontId="14" type="noConversion"/>
  </si>
  <si>
    <t>〔55〕</t>
  </si>
  <si>
    <t>〔56〕</t>
  </si>
  <si>
    <t>序号</t>
    <phoneticPr fontId="14" type="noConversion"/>
  </si>
  <si>
    <t>给定</t>
    <phoneticPr fontId="14" type="noConversion"/>
  </si>
  <si>
    <t>Mpa</t>
    <phoneticPr fontId="14" type="noConversion"/>
  </si>
  <si>
    <t>设计参数</t>
    <phoneticPr fontId="14" type="noConversion"/>
  </si>
  <si>
    <t>℃</t>
    <phoneticPr fontId="14" type="noConversion"/>
  </si>
  <si>
    <t>G1</t>
    <phoneticPr fontId="14" type="noConversion"/>
  </si>
  <si>
    <t>t/h</t>
    <phoneticPr fontId="14" type="noConversion"/>
  </si>
  <si>
    <t>〔1〕</t>
    <phoneticPr fontId="14" type="noConversion"/>
  </si>
  <si>
    <t>汽轮机内效率</t>
    <phoneticPr fontId="14" type="noConversion"/>
  </si>
  <si>
    <r>
      <t>η</t>
    </r>
    <r>
      <rPr>
        <vertAlign val="subscript"/>
        <sz val="12"/>
        <rFont val="Times New Roman"/>
        <family val="1"/>
      </rPr>
      <t>Ti</t>
    </r>
    <phoneticPr fontId="14" type="noConversion"/>
  </si>
  <si>
    <t>机械效率</t>
    <phoneticPr fontId="14" type="noConversion"/>
  </si>
  <si>
    <r>
      <t>η</t>
    </r>
    <r>
      <rPr>
        <vertAlign val="subscript"/>
        <sz val="12"/>
        <rFont val="Times New Roman"/>
        <family val="1"/>
      </rPr>
      <t>m</t>
    </r>
    <phoneticPr fontId="14" type="noConversion"/>
  </si>
  <si>
    <t>发电机效率</t>
    <phoneticPr fontId="14" type="noConversion"/>
  </si>
  <si>
    <r>
      <t>η</t>
    </r>
    <r>
      <rPr>
        <vertAlign val="subscript"/>
        <sz val="12"/>
        <rFont val="Times New Roman"/>
        <family val="1"/>
      </rPr>
      <t>g</t>
    </r>
    <phoneticPr fontId="14" type="noConversion"/>
  </si>
  <si>
    <t>主蒸汽      压力</t>
    <phoneticPr fontId="14" type="noConversion"/>
  </si>
  <si>
    <t>温度</t>
    <phoneticPr fontId="14" type="noConversion"/>
  </si>
  <si>
    <t>流量</t>
    <phoneticPr fontId="14" type="noConversion"/>
  </si>
  <si>
    <t>热源产生主蒸汽总流量</t>
    <phoneticPr fontId="14" type="noConversion"/>
  </si>
  <si>
    <t>熵</t>
    <phoneticPr fontId="14" type="noConversion"/>
  </si>
  <si>
    <t>kJ/(kg·℃)</t>
    <phoneticPr fontId="14" type="noConversion"/>
  </si>
  <si>
    <t>查表</t>
    <phoneticPr fontId="14" type="noConversion"/>
  </si>
  <si>
    <t>焓</t>
    <phoneticPr fontId="14" type="noConversion"/>
  </si>
  <si>
    <t>Izo</t>
    <phoneticPr fontId="14" type="noConversion"/>
  </si>
  <si>
    <t>kJ/kg</t>
    <phoneticPr fontId="14" type="noConversion"/>
  </si>
  <si>
    <t>P2'</t>
    <phoneticPr fontId="14" type="noConversion"/>
  </si>
  <si>
    <t>Mpa</t>
    <phoneticPr fontId="14" type="noConversion"/>
  </si>
  <si>
    <t>设计参数</t>
    <phoneticPr fontId="14" type="noConversion"/>
  </si>
  <si>
    <t>温度</t>
    <phoneticPr fontId="14" type="noConversion"/>
  </si>
  <si>
    <t>℃</t>
    <phoneticPr fontId="14" type="noConversion"/>
  </si>
  <si>
    <t>S'</t>
    <phoneticPr fontId="14" type="noConversion"/>
  </si>
  <si>
    <t>主蒸汽绝热等熵</t>
    <phoneticPr fontId="14" type="noConversion"/>
  </si>
  <si>
    <t>Izob</t>
    <phoneticPr fontId="14" type="noConversion"/>
  </si>
  <si>
    <t>流量</t>
    <phoneticPr fontId="14" type="noConversion"/>
  </si>
  <si>
    <t>t/h</t>
    <phoneticPr fontId="14" type="noConversion"/>
  </si>
  <si>
    <t>G</t>
    <phoneticPr fontId="14" type="noConversion"/>
  </si>
  <si>
    <t>G1+G2</t>
    <phoneticPr fontId="14" type="noConversion"/>
  </si>
  <si>
    <t>压力</t>
    <phoneticPr fontId="14" type="noConversion"/>
  </si>
  <si>
    <t>焓</t>
    <phoneticPr fontId="14" type="noConversion"/>
  </si>
  <si>
    <r>
      <t>I</t>
    </r>
    <r>
      <rPr>
        <vertAlign val="subscript"/>
        <sz val="11"/>
        <rFont val="宋体"/>
        <family val="3"/>
        <charset val="134"/>
      </rPr>
      <t>h</t>
    </r>
    <phoneticPr fontId="14" type="noConversion"/>
  </si>
  <si>
    <t>kJ/kg</t>
    <phoneticPr fontId="14" type="noConversion"/>
  </si>
  <si>
    <t>（（G1-G3）*Izob+G2*Izo'）/G</t>
    <phoneticPr fontId="14" type="noConversion"/>
  </si>
  <si>
    <t>熵</t>
    <phoneticPr fontId="14" type="noConversion"/>
  </si>
  <si>
    <r>
      <t>S</t>
    </r>
    <r>
      <rPr>
        <vertAlign val="subscript"/>
        <sz val="11"/>
        <rFont val="宋体"/>
        <family val="3"/>
        <charset val="134"/>
      </rPr>
      <t>h</t>
    </r>
    <phoneticPr fontId="14" type="noConversion"/>
  </si>
  <si>
    <t>kJ/(kg·℃)</t>
    <phoneticPr fontId="14" type="noConversion"/>
  </si>
  <si>
    <t>查表</t>
    <phoneticPr fontId="14" type="noConversion"/>
  </si>
  <si>
    <t>乏汽             压力</t>
    <phoneticPr fontId="14" type="noConversion"/>
  </si>
  <si>
    <t>P3</t>
    <phoneticPr fontId="14" type="noConversion"/>
  </si>
  <si>
    <t>湿冷：0.005～0.007 空冷0.015</t>
    <phoneticPr fontId="14" type="noConversion"/>
  </si>
  <si>
    <t>焓</t>
    <phoneticPr fontId="14" type="noConversion"/>
  </si>
  <si>
    <t>Ipo</t>
    <phoneticPr fontId="14" type="noConversion"/>
  </si>
  <si>
    <t>kJ/kg</t>
    <phoneticPr fontId="14" type="noConversion"/>
  </si>
  <si>
    <t>汽轮机绝热等熵做功排汽焓值，查表</t>
    <phoneticPr fontId="14" type="noConversion"/>
  </si>
  <si>
    <t>总发电量</t>
    <phoneticPr fontId="14" type="noConversion"/>
  </si>
  <si>
    <t>P</t>
    <phoneticPr fontId="14" type="noConversion"/>
  </si>
  <si>
    <t>kw</t>
    <phoneticPr fontId="14" type="noConversion"/>
  </si>
  <si>
    <t>去除抽汽后</t>
    <phoneticPr fontId="14" type="noConversion"/>
  </si>
  <si>
    <t>MW</t>
    <phoneticPr fontId="14" type="noConversion"/>
  </si>
  <si>
    <t>经验值：有高加0.85；无高加0.9；无低价0.95</t>
    <phoneticPr fontId="14" type="noConversion"/>
  </si>
  <si>
    <t>选定</t>
    <phoneticPr fontId="14" type="noConversion"/>
  </si>
  <si>
    <t>全厂汽水损失</t>
    <phoneticPr fontId="14" type="noConversion"/>
  </si>
  <si>
    <t>根据情况选择加热器形式：汇集式或者疏水放流式加热器，汇集式带疏水泵将疏水打至给水；假定换热效率0.98</t>
    <phoneticPr fontId="14" type="noConversion"/>
  </si>
  <si>
    <t>给水出水温度</t>
    <phoneticPr fontId="14" type="noConversion"/>
  </si>
  <si>
    <t>给水出口焓</t>
    <phoneticPr fontId="14" type="noConversion"/>
  </si>
  <si>
    <t>上端差</t>
    <phoneticPr fontId="14" type="noConversion"/>
  </si>
  <si>
    <t>饱和水温度--加热器疏水温度</t>
    <phoneticPr fontId="14" type="noConversion"/>
  </si>
  <si>
    <t>饱和水焓</t>
    <phoneticPr fontId="14" type="noConversion"/>
  </si>
  <si>
    <t>工作压力</t>
    <phoneticPr fontId="14" type="noConversion"/>
  </si>
  <si>
    <t>抽汽管压损</t>
    <phoneticPr fontId="14" type="noConversion"/>
  </si>
  <si>
    <t>抽汽压力</t>
    <phoneticPr fontId="14" type="noConversion"/>
  </si>
  <si>
    <t>抽汽焓</t>
    <phoneticPr fontId="14" type="noConversion"/>
  </si>
  <si>
    <t>抽汽量</t>
    <phoneticPr fontId="14" type="noConversion"/>
  </si>
  <si>
    <t>符号</t>
    <phoneticPr fontId="14" type="noConversion"/>
  </si>
  <si>
    <r>
      <t>t</t>
    </r>
    <r>
      <rPr>
        <sz val="9"/>
        <rFont val="宋体"/>
        <family val="3"/>
        <charset val="134"/>
      </rPr>
      <t>w2</t>
    </r>
    <phoneticPr fontId="14" type="noConversion"/>
  </si>
  <si>
    <r>
      <t>h</t>
    </r>
    <r>
      <rPr>
        <sz val="9"/>
        <rFont val="宋体"/>
        <family val="3"/>
        <charset val="134"/>
      </rPr>
      <t>w2</t>
    </r>
    <phoneticPr fontId="14" type="noConversion"/>
  </si>
  <si>
    <t>φ</t>
    <phoneticPr fontId="14" type="noConversion"/>
  </si>
  <si>
    <r>
      <t>t</t>
    </r>
    <r>
      <rPr>
        <sz val="9"/>
        <rFont val="宋体"/>
        <family val="3"/>
        <charset val="134"/>
      </rPr>
      <t>e‘</t>
    </r>
    <phoneticPr fontId="14" type="noConversion"/>
  </si>
  <si>
    <r>
      <t>h</t>
    </r>
    <r>
      <rPr>
        <sz val="10"/>
        <rFont val="宋体"/>
        <family val="3"/>
        <charset val="134"/>
      </rPr>
      <t>e</t>
    </r>
    <r>
      <rPr>
        <sz val="11"/>
        <rFont val="宋体"/>
        <family val="3"/>
        <charset val="134"/>
      </rPr>
      <t>’</t>
    </r>
    <phoneticPr fontId="14" type="noConversion"/>
  </si>
  <si>
    <r>
      <t>p</t>
    </r>
    <r>
      <rPr>
        <sz val="9"/>
        <rFont val="宋体"/>
        <family val="3"/>
        <charset val="134"/>
      </rPr>
      <t>e‘</t>
    </r>
    <phoneticPr fontId="14" type="noConversion"/>
  </si>
  <si>
    <t>ΔPe</t>
    <phoneticPr fontId="14" type="noConversion"/>
  </si>
  <si>
    <t>Pe</t>
    <phoneticPr fontId="14" type="noConversion"/>
  </si>
  <si>
    <r>
      <t>h</t>
    </r>
    <r>
      <rPr>
        <sz val="10"/>
        <rFont val="宋体"/>
        <family val="3"/>
        <charset val="134"/>
      </rPr>
      <t>e</t>
    </r>
    <phoneticPr fontId="14" type="noConversion"/>
  </si>
  <si>
    <t>Δde‘</t>
    <phoneticPr fontId="14" type="noConversion"/>
  </si>
  <si>
    <t>单位</t>
    <phoneticPr fontId="14" type="noConversion"/>
  </si>
  <si>
    <t>℃</t>
    <phoneticPr fontId="14" type="noConversion"/>
  </si>
  <si>
    <t>kj/kg</t>
    <phoneticPr fontId="14" type="noConversion"/>
  </si>
  <si>
    <t>HH1</t>
    <phoneticPr fontId="14" type="noConversion"/>
  </si>
  <si>
    <t>HH2</t>
    <phoneticPr fontId="14" type="noConversion"/>
  </si>
  <si>
    <t>假设</t>
    <phoneticPr fontId="14" type="noConversion"/>
  </si>
  <si>
    <t>化学补水</t>
    <phoneticPr fontId="14" type="noConversion"/>
  </si>
  <si>
    <t>温度：</t>
    <phoneticPr fontId="14" type="noConversion"/>
  </si>
  <si>
    <t>压力：</t>
    <phoneticPr fontId="14" type="noConversion"/>
  </si>
  <si>
    <t>焓值：</t>
    <phoneticPr fontId="14" type="noConversion"/>
  </si>
  <si>
    <t>量：</t>
    <phoneticPr fontId="14" type="noConversion"/>
  </si>
  <si>
    <t>D</t>
    <phoneticPr fontId="14" type="noConversion"/>
  </si>
  <si>
    <t>LH1</t>
    <phoneticPr fontId="14" type="noConversion"/>
  </si>
  <si>
    <t>LH2</t>
    <phoneticPr fontId="14" type="noConversion"/>
  </si>
  <si>
    <t>C</t>
    <phoneticPr fontId="14" type="noConversion"/>
  </si>
  <si>
    <t>注意：除氧器压力、温度选择原则---大气式除氧器0.02MPa，104℃；中压除氧器0.3MPa，130℃；高压除氧器0.5MPa，159℃；压力均为表压；抽汽压力略高于除氧压力</t>
    <phoneticPr fontId="14" type="noConversion"/>
  </si>
  <si>
    <t>〔1〕</t>
    <phoneticPr fontId="14" type="noConversion"/>
  </si>
  <si>
    <t>汽轮机内效率</t>
    <phoneticPr fontId="14" type="noConversion"/>
  </si>
  <si>
    <r>
      <t>η</t>
    </r>
    <r>
      <rPr>
        <vertAlign val="subscript"/>
        <sz val="12"/>
        <rFont val="Times New Roman"/>
        <family val="1"/>
      </rPr>
      <t>Ti</t>
    </r>
    <phoneticPr fontId="14" type="noConversion"/>
  </si>
  <si>
    <t>主蒸汽       压力</t>
    <phoneticPr fontId="14" type="noConversion"/>
  </si>
  <si>
    <t>温度</t>
    <phoneticPr fontId="14" type="noConversion"/>
  </si>
  <si>
    <t>设计参数</t>
    <phoneticPr fontId="14" type="noConversion"/>
  </si>
  <si>
    <t>流量</t>
    <phoneticPr fontId="14" type="noConversion"/>
  </si>
  <si>
    <t>G1</t>
    <phoneticPr fontId="14" type="noConversion"/>
  </si>
  <si>
    <t>熵</t>
    <phoneticPr fontId="14" type="noConversion"/>
  </si>
  <si>
    <t>kJ/(kg·℃)</t>
    <phoneticPr fontId="14" type="noConversion"/>
  </si>
  <si>
    <t>查表</t>
    <phoneticPr fontId="14" type="noConversion"/>
  </si>
  <si>
    <t>Izo</t>
    <phoneticPr fontId="14" type="noConversion"/>
  </si>
  <si>
    <t>1#高压    压力</t>
    <phoneticPr fontId="14" type="noConversion"/>
  </si>
  <si>
    <t>S'</t>
    <phoneticPr fontId="14" type="noConversion"/>
  </si>
  <si>
    <t>主蒸汽绝热等熵</t>
    <phoneticPr fontId="14" type="noConversion"/>
  </si>
  <si>
    <t>Izob</t>
    <phoneticPr fontId="14" type="noConversion"/>
  </si>
  <si>
    <t>GH1</t>
    <phoneticPr fontId="14" type="noConversion"/>
  </si>
  <si>
    <t>主汽至HH1功率</t>
    <phoneticPr fontId="14" type="noConversion"/>
  </si>
  <si>
    <t>P2</t>
    <phoneticPr fontId="14" type="noConversion"/>
  </si>
  <si>
    <t>KW</t>
    <phoneticPr fontId="14" type="noConversion"/>
  </si>
  <si>
    <t>2#高压    压力</t>
    <phoneticPr fontId="14" type="noConversion"/>
  </si>
  <si>
    <t>P7</t>
    <phoneticPr fontId="14" type="noConversion"/>
  </si>
  <si>
    <t>总功率</t>
    <phoneticPr fontId="14" type="noConversion"/>
  </si>
  <si>
    <t>计算误差</t>
    <phoneticPr fontId="14" type="noConversion"/>
  </si>
  <si>
    <t>±3%以内</t>
    <phoneticPr fontId="14" type="noConversion"/>
  </si>
  <si>
    <t>Q</t>
    <phoneticPr fontId="14" type="noConversion"/>
  </si>
  <si>
    <t>1000KJ/h</t>
    <phoneticPr fontId="14" type="noConversion"/>
  </si>
  <si>
    <t>q</t>
    <phoneticPr fontId="14" type="noConversion"/>
  </si>
  <si>
    <t>kj/（kw.h）</t>
    <phoneticPr fontId="14" type="noConversion"/>
  </si>
  <si>
    <t>汽耗率</t>
    <phoneticPr fontId="14" type="noConversion"/>
  </si>
  <si>
    <t>d</t>
    <phoneticPr fontId="14" type="noConversion"/>
  </si>
  <si>
    <t>kg/kw.h</t>
    <phoneticPr fontId="14" type="noConversion"/>
  </si>
  <si>
    <t>标准煤耗量</t>
    <phoneticPr fontId="14" type="noConversion"/>
  </si>
  <si>
    <t>B</t>
    <phoneticPr fontId="14" type="noConversion"/>
  </si>
  <si>
    <t>kg/h</t>
    <phoneticPr fontId="14" type="noConversion"/>
  </si>
  <si>
    <t>29308kj/kg 标煤热值；7000大卡</t>
    <phoneticPr fontId="14" type="noConversion"/>
  </si>
  <si>
    <t>煤耗率</t>
    <phoneticPr fontId="14" type="noConversion"/>
  </si>
  <si>
    <t>b</t>
    <phoneticPr fontId="14" type="noConversion"/>
  </si>
  <si>
    <t>全厂热效率</t>
    <phoneticPr fontId="14" type="noConversion"/>
  </si>
  <si>
    <t>ηe</t>
    <phoneticPr fontId="14" type="noConversion"/>
  </si>
  <si>
    <t>中小型凝汽式发电机组总效率约为30%左右</t>
    <phoneticPr fontId="14" type="noConversion"/>
  </si>
  <si>
    <t>年利用小时数</t>
    <phoneticPr fontId="14" type="noConversion"/>
  </si>
  <si>
    <t>T</t>
    <phoneticPr fontId="14" type="noConversion"/>
  </si>
  <si>
    <t>h</t>
    <phoneticPr fontId="14" type="noConversion"/>
  </si>
  <si>
    <t>年发电量</t>
    <phoneticPr fontId="14" type="noConversion"/>
  </si>
  <si>
    <r>
      <t>10</t>
    </r>
    <r>
      <rPr>
        <vertAlign val="superscript"/>
        <sz val="12"/>
        <rFont val="宋体"/>
        <family val="3"/>
        <charset val="134"/>
      </rPr>
      <t>4</t>
    </r>
    <r>
      <rPr>
        <sz val="12"/>
        <rFont val="宋体"/>
        <family val="3"/>
        <charset val="134"/>
      </rPr>
      <t>Kw.h</t>
    </r>
    <phoneticPr fontId="14" type="noConversion"/>
  </si>
  <si>
    <t>电站自耗电功率</t>
    <phoneticPr fontId="14" type="noConversion"/>
  </si>
  <si>
    <t>Kwh</t>
    <phoneticPr fontId="14" type="noConversion"/>
  </si>
  <si>
    <t>电站自耗电率</t>
    <phoneticPr fontId="14" type="noConversion"/>
  </si>
  <si>
    <t>%</t>
    <phoneticPr fontId="14" type="noConversion"/>
  </si>
  <si>
    <t>年外供电量</t>
    <phoneticPr fontId="14" type="noConversion"/>
  </si>
  <si>
    <t>年节约标煤</t>
    <phoneticPr fontId="14" type="noConversion"/>
  </si>
  <si>
    <t>等价</t>
    <phoneticPr fontId="14" type="noConversion"/>
  </si>
  <si>
    <t>万吨</t>
    <phoneticPr fontId="14" type="noConversion"/>
  </si>
  <si>
    <t>国家统计局：每度电折0.404kg 标煤</t>
    <phoneticPr fontId="14" type="noConversion"/>
  </si>
  <si>
    <t>当量</t>
    <phoneticPr fontId="14" type="noConversion"/>
  </si>
  <si>
    <t>电力：每度电折0.1229kg 标煤</t>
    <phoneticPr fontId="14" type="noConversion"/>
  </si>
  <si>
    <t>电力行业</t>
    <phoneticPr fontId="14" type="noConversion"/>
  </si>
  <si>
    <t>360g</t>
    <phoneticPr fontId="14" type="noConversion"/>
  </si>
  <si>
    <t>1、发电功率估算</t>
    <phoneticPr fontId="14" type="noConversion"/>
  </si>
  <si>
    <t>2、汽轮机回热系统计算--高压设5-6回热，给水温度210-230；中温中压4-5及回热，给水温度150-170；1.3MPa低压2级回热，给水温度104；2.4MPa低压3-4级回热，给水温度150；</t>
    <phoneticPr fontId="14" type="noConversion"/>
  </si>
  <si>
    <t>抽汽点      压力</t>
    <phoneticPr fontId="14" type="noConversion"/>
  </si>
  <si>
    <t>抽汽后蒸汽量</t>
    <phoneticPr fontId="14" type="noConversion"/>
  </si>
  <si>
    <t>抽汽点    压力</t>
    <phoneticPr fontId="14" type="noConversion"/>
  </si>
  <si>
    <t>D至抽汽功率</t>
    <phoneticPr fontId="14" type="noConversion"/>
  </si>
  <si>
    <t>(Ipo'-Ipos）/（Ipog-Ipos）小型汽轮机排汽湿度控制在10~12%以内</t>
    <phoneticPr fontId="14" type="noConversion"/>
  </si>
  <si>
    <t>乏汽      压力</t>
    <phoneticPr fontId="14" type="noConversion"/>
  </si>
  <si>
    <t>热耗率</t>
    <phoneticPr fontId="14" type="noConversion"/>
  </si>
  <si>
    <t>热耗</t>
    <phoneticPr fontId="1" type="noConversion"/>
  </si>
  <si>
    <t>抽汽至LH1功率</t>
    <phoneticPr fontId="14" type="noConversion"/>
  </si>
  <si>
    <t>无用户补汽</t>
    <phoneticPr fontId="14" type="noConversion"/>
  </si>
  <si>
    <r>
      <t>3、组内功率计算及校核--</t>
    </r>
    <r>
      <rPr>
        <sz val="11"/>
        <color indexed="14"/>
        <rFont val="宋体"/>
        <family val="3"/>
        <charset val="134"/>
      </rPr>
      <t>（1）注意补汽压力所对应的的补汽点位置；（2）注意无高加时，高加抽气压力需手动修改</t>
    </r>
    <phoneticPr fontId="14" type="noConversion"/>
  </si>
  <si>
    <t>4、主要经济指标</t>
    <phoneticPr fontId="14" type="noConversion"/>
  </si>
  <si>
    <t>引风机入口烟气密度</t>
  </si>
  <si>
    <t>Ty</t>
  </si>
  <si>
    <t>烟风量计算表</t>
  </si>
  <si>
    <t>（5）烟风煤粉管道配套设计计算方法</t>
    <phoneticPr fontId="14" type="noConversion"/>
  </si>
  <si>
    <t>烟囱结构高度</t>
    <phoneticPr fontId="14" type="noConversion"/>
  </si>
  <si>
    <t>烟囱计算段累计高度</t>
    <phoneticPr fontId="14" type="noConversion"/>
  </si>
  <si>
    <t>烟囱出口内径</t>
    <phoneticPr fontId="14" type="noConversion"/>
  </si>
  <si>
    <t>锥形烟囱坡度</t>
    <phoneticPr fontId="14" type="noConversion"/>
  </si>
  <si>
    <t>当地年均
大气压</t>
    <phoneticPr fontId="14" type="noConversion"/>
  </si>
  <si>
    <t>当地最热月平均温度</t>
    <phoneticPr fontId="14" type="noConversion"/>
  </si>
  <si>
    <t>空气密度
（压力、温度修正）</t>
    <phoneticPr fontId="14" type="noConversion"/>
  </si>
  <si>
    <t>烟气密度
（压力、温度修正）</t>
    <phoneticPr fontId="14" type="noConversion"/>
  </si>
  <si>
    <t>烟/空气密度差</t>
    <phoneticPr fontId="14" type="noConversion"/>
  </si>
  <si>
    <t>烟囱累计自生通风</t>
    <phoneticPr fontId="14" type="noConversion"/>
  </si>
  <si>
    <t>烟气量（4炉）</t>
    <phoneticPr fontId="14" type="noConversion"/>
  </si>
  <si>
    <t>出口速度</t>
    <phoneticPr fontId="14" type="noConversion"/>
  </si>
  <si>
    <t>出口动压头</t>
    <phoneticPr fontId="14" type="noConversion"/>
  </si>
  <si>
    <t>烟囱出口与计算截面动压差</t>
    <phoneticPr fontId="14" type="noConversion"/>
  </si>
  <si>
    <t>烟筒内壁摩擦阻力系数</t>
    <phoneticPr fontId="14" type="noConversion"/>
  </si>
  <si>
    <t>折算阻力系数</t>
    <phoneticPr fontId="14" type="noConversion"/>
  </si>
  <si>
    <t>烟囱出口与计算截面摩擦阻力损失</t>
    <phoneticPr fontId="14" type="noConversion"/>
  </si>
  <si>
    <t xml:space="preserve">计算截面的相对静压即烟囱内外的压差 </t>
    <phoneticPr fontId="14" type="noConversion"/>
  </si>
  <si>
    <t>（5）P8</t>
    <phoneticPr fontId="14" type="noConversion"/>
  </si>
  <si>
    <t>（5）P15</t>
    <phoneticPr fontId="14" type="noConversion"/>
  </si>
  <si>
    <t>（5）P10</t>
    <phoneticPr fontId="14" type="noConversion"/>
  </si>
  <si>
    <t>H</t>
    <phoneticPr fontId="14" type="noConversion"/>
  </si>
  <si>
    <r>
      <t>H</t>
    </r>
    <r>
      <rPr>
        <vertAlign val="subscript"/>
        <sz val="9"/>
        <rFont val="宋体"/>
        <family val="3"/>
        <charset val="134"/>
      </rPr>
      <t>JS</t>
    </r>
    <phoneticPr fontId="14" type="noConversion"/>
  </si>
  <si>
    <r>
      <t>d</t>
    </r>
    <r>
      <rPr>
        <vertAlign val="subscript"/>
        <sz val="9"/>
        <rFont val="Times New Roman"/>
        <family val="1"/>
      </rPr>
      <t>0</t>
    </r>
    <phoneticPr fontId="14" type="noConversion"/>
  </si>
  <si>
    <t>i</t>
    <phoneticPr fontId="14" type="noConversion"/>
  </si>
  <si>
    <r>
      <t>T</t>
    </r>
    <r>
      <rPr>
        <vertAlign val="subscript"/>
        <sz val="9"/>
        <color indexed="8"/>
        <rFont val="宋体"/>
        <family val="3"/>
        <charset val="134"/>
      </rPr>
      <t>p</t>
    </r>
    <phoneticPr fontId="14" type="noConversion"/>
  </si>
  <si>
    <r>
      <t>ρ</t>
    </r>
    <r>
      <rPr>
        <vertAlign val="subscript"/>
        <sz val="9"/>
        <rFont val="宋体"/>
        <family val="3"/>
        <charset val="134"/>
      </rPr>
      <t>ao</t>
    </r>
    <phoneticPr fontId="14" type="noConversion"/>
  </si>
  <si>
    <t>ρa</t>
    <phoneticPr fontId="14" type="noConversion"/>
  </si>
  <si>
    <r>
      <t>ρ</t>
    </r>
    <r>
      <rPr>
        <vertAlign val="subscript"/>
        <sz val="9"/>
        <color indexed="8"/>
        <rFont val="宋体"/>
        <family val="3"/>
        <charset val="134"/>
      </rPr>
      <t>yo</t>
    </r>
    <phoneticPr fontId="14" type="noConversion"/>
  </si>
  <si>
    <t>Ty</t>
    <phoneticPr fontId="14" type="noConversion"/>
  </si>
  <si>
    <t>ρy</t>
    <phoneticPr fontId="14" type="noConversion"/>
  </si>
  <si>
    <t>Δρ</t>
    <phoneticPr fontId="14" type="noConversion"/>
  </si>
  <si>
    <r>
      <t>∑</t>
    </r>
    <r>
      <rPr>
        <b/>
        <sz val="9"/>
        <rFont val="Times New Roman"/>
        <family val="1"/>
      </rPr>
      <t>h</t>
    </r>
    <r>
      <rPr>
        <b/>
        <vertAlign val="subscript"/>
        <sz val="9"/>
        <rFont val="Times New Roman"/>
        <family val="1"/>
      </rPr>
      <t>zs</t>
    </r>
    <phoneticPr fontId="14" type="noConversion"/>
  </si>
  <si>
    <t>Vy</t>
    <phoneticPr fontId="14" type="noConversion"/>
  </si>
  <si>
    <r>
      <t>W</t>
    </r>
    <r>
      <rPr>
        <vertAlign val="subscript"/>
        <sz val="9"/>
        <rFont val="宋体"/>
        <family val="3"/>
        <charset val="134"/>
      </rPr>
      <t>O</t>
    </r>
    <phoneticPr fontId="14" type="noConversion"/>
  </si>
  <si>
    <r>
      <t>h</t>
    </r>
    <r>
      <rPr>
        <vertAlign val="subscript"/>
        <sz val="9"/>
        <rFont val="Times New Roman"/>
        <family val="1"/>
      </rPr>
      <t>d</t>
    </r>
    <phoneticPr fontId="14" type="noConversion"/>
  </si>
  <si>
    <r>
      <t>Δ</t>
    </r>
    <r>
      <rPr>
        <sz val="9"/>
        <rFont val="Times New Roman"/>
        <family val="1"/>
      </rPr>
      <t>h</t>
    </r>
    <r>
      <rPr>
        <vertAlign val="subscript"/>
        <sz val="9"/>
        <rFont val="Times New Roman"/>
        <family val="1"/>
      </rPr>
      <t>d</t>
    </r>
    <phoneticPr fontId="14" type="noConversion"/>
  </si>
  <si>
    <r>
      <t>λ</t>
    </r>
    <r>
      <rPr>
        <vertAlign val="subscript"/>
        <sz val="9"/>
        <rFont val="Times New Roman"/>
        <family val="1"/>
      </rPr>
      <t>Z</t>
    </r>
    <phoneticPr fontId="14" type="noConversion"/>
  </si>
  <si>
    <t>ξ</t>
    <phoneticPr fontId="14" type="noConversion"/>
  </si>
  <si>
    <r>
      <t>Δ</t>
    </r>
    <r>
      <rPr>
        <b/>
        <sz val="9"/>
        <rFont val="Times New Roman"/>
        <family val="1"/>
      </rPr>
      <t>h</t>
    </r>
    <r>
      <rPr>
        <b/>
        <vertAlign val="subscript"/>
        <sz val="9"/>
        <rFont val="Times New Roman"/>
        <family val="1"/>
      </rPr>
      <t>M</t>
    </r>
    <phoneticPr fontId="14" type="noConversion"/>
  </si>
  <si>
    <r>
      <t>Δ</t>
    </r>
    <r>
      <rPr>
        <sz val="9"/>
        <rFont val="Times New Roman"/>
        <family val="1"/>
      </rPr>
      <t>P</t>
    </r>
    <r>
      <rPr>
        <vertAlign val="subscript"/>
        <sz val="9"/>
        <rFont val="Times New Roman"/>
        <family val="1"/>
      </rPr>
      <t>Z</t>
    </r>
    <phoneticPr fontId="14" type="noConversion"/>
  </si>
  <si>
    <t>m</t>
    <phoneticPr fontId="14" type="noConversion"/>
  </si>
  <si>
    <t>——</t>
    <phoneticPr fontId="14" type="noConversion"/>
  </si>
  <si>
    <t>kPa</t>
    <phoneticPr fontId="14" type="noConversion"/>
  </si>
  <si>
    <t>℃</t>
    <phoneticPr fontId="14" type="noConversion"/>
  </si>
  <si>
    <r>
      <t>kg/Nm</t>
    </r>
    <r>
      <rPr>
        <vertAlign val="superscript"/>
        <sz val="9"/>
        <rFont val="Times New Roman"/>
        <family val="1"/>
      </rPr>
      <t>3</t>
    </r>
    <phoneticPr fontId="14" type="noConversion"/>
  </si>
  <si>
    <r>
      <t>kg/m</t>
    </r>
    <r>
      <rPr>
        <vertAlign val="superscript"/>
        <sz val="9"/>
        <rFont val="Times New Roman"/>
        <family val="1"/>
      </rPr>
      <t>3</t>
    </r>
    <phoneticPr fontId="14" type="noConversion"/>
  </si>
  <si>
    <t>Pa</t>
    <phoneticPr fontId="14" type="noConversion"/>
  </si>
  <si>
    <r>
      <t>m</t>
    </r>
    <r>
      <rPr>
        <vertAlign val="superscript"/>
        <sz val="9"/>
        <rFont val="宋体"/>
        <family val="3"/>
        <charset val="134"/>
      </rPr>
      <t>3</t>
    </r>
    <r>
      <rPr>
        <sz val="9"/>
        <rFont val="宋体"/>
        <family val="3"/>
        <charset val="134"/>
      </rPr>
      <t>/s</t>
    </r>
    <phoneticPr fontId="14" type="noConversion"/>
  </si>
  <si>
    <t>m/s</t>
    <phoneticPr fontId="14" type="noConversion"/>
  </si>
  <si>
    <t>烟风量计算表</t>
    <phoneticPr fontId="14" type="noConversion"/>
  </si>
  <si>
    <t>气象资料</t>
    <phoneticPr fontId="14" type="noConversion"/>
  </si>
  <si>
    <r>
      <t>ρ</t>
    </r>
    <r>
      <rPr>
        <vertAlign val="subscript"/>
        <sz val="9"/>
        <color indexed="8"/>
        <rFont val="宋体"/>
        <family val="3"/>
        <charset val="134"/>
      </rPr>
      <t>ao</t>
    </r>
    <r>
      <rPr>
        <sz val="9"/>
        <color indexed="8"/>
        <rFont val="宋体"/>
        <family val="3"/>
        <charset val="134"/>
      </rPr>
      <t>*Pb*273/（273+Tp）/101.325</t>
    </r>
    <phoneticPr fontId="14" type="noConversion"/>
  </si>
  <si>
    <r>
      <t>ρ</t>
    </r>
    <r>
      <rPr>
        <vertAlign val="subscript"/>
        <sz val="9"/>
        <color indexed="8"/>
        <rFont val="宋体"/>
        <family val="3"/>
        <charset val="134"/>
      </rPr>
      <t>yo</t>
    </r>
    <r>
      <rPr>
        <sz val="9"/>
        <color indexed="8"/>
        <rFont val="宋体"/>
        <family val="3"/>
        <charset val="134"/>
      </rPr>
      <t>*Pb*273/（273+Ty）/101.325</t>
    </r>
    <phoneticPr fontId="14" type="noConversion"/>
  </si>
  <si>
    <t>ρa-ρy</t>
    <phoneticPr fontId="14" type="noConversion"/>
  </si>
  <si>
    <r>
      <t>g*Δρ*H</t>
    </r>
    <r>
      <rPr>
        <vertAlign val="subscript"/>
        <sz val="9"/>
        <color indexed="8"/>
        <rFont val="宋体"/>
        <family val="3"/>
        <charset val="134"/>
      </rPr>
      <t>JS</t>
    </r>
    <phoneticPr fontId="14" type="noConversion"/>
  </si>
  <si>
    <r>
      <t>Vy/(0.785*do</t>
    </r>
    <r>
      <rPr>
        <vertAlign val="superscript"/>
        <sz val="9"/>
        <color indexed="8"/>
        <rFont val="宋体"/>
        <family val="3"/>
        <charset val="134"/>
      </rPr>
      <t>2</t>
    </r>
    <r>
      <rPr>
        <sz val="9"/>
        <color indexed="8"/>
        <rFont val="宋体"/>
        <family val="3"/>
        <charset val="134"/>
      </rPr>
      <t>)</t>
    </r>
    <phoneticPr fontId="14" type="noConversion"/>
  </si>
  <si>
    <r>
      <t>W</t>
    </r>
    <r>
      <rPr>
        <vertAlign val="subscript"/>
        <sz val="9"/>
        <color indexed="8"/>
        <rFont val="宋体"/>
        <family val="3"/>
        <charset val="134"/>
      </rPr>
      <t>O</t>
    </r>
    <r>
      <rPr>
        <vertAlign val="superscript"/>
        <sz val="9"/>
        <color indexed="8"/>
        <rFont val="宋体"/>
        <family val="3"/>
        <charset val="134"/>
      </rPr>
      <t>2</t>
    </r>
    <r>
      <rPr>
        <sz val="9"/>
        <color indexed="8"/>
        <rFont val="宋体"/>
        <family val="3"/>
        <charset val="134"/>
      </rPr>
      <t>*ρy/2</t>
    </r>
    <phoneticPr fontId="14" type="noConversion"/>
  </si>
  <si>
    <r>
      <t>锥筒：λ</t>
    </r>
    <r>
      <rPr>
        <vertAlign val="subscript"/>
        <sz val="9"/>
        <rFont val="Times New Roman"/>
        <family val="1"/>
      </rPr>
      <t>Z</t>
    </r>
    <r>
      <rPr>
        <b/>
        <vertAlign val="subscript"/>
        <sz val="9"/>
        <rFont val="Times New Roman"/>
        <family val="1"/>
      </rPr>
      <t xml:space="preserve">  </t>
    </r>
    <r>
      <rPr>
        <b/>
        <sz val="9"/>
        <rFont val="Times New Roman"/>
        <family val="1"/>
      </rPr>
      <t>/</t>
    </r>
    <r>
      <rPr>
        <sz val="9"/>
        <rFont val="Times New Roman"/>
        <family val="1"/>
      </rPr>
      <t xml:space="preserve"> (8*i)
</t>
    </r>
    <r>
      <rPr>
        <sz val="9"/>
        <rFont val="宋体"/>
        <family val="3"/>
        <charset val="134"/>
      </rPr>
      <t>直筒：λ</t>
    </r>
    <r>
      <rPr>
        <vertAlign val="subscript"/>
        <sz val="9"/>
        <rFont val="Times New Roman"/>
        <family val="1"/>
      </rPr>
      <t>Z</t>
    </r>
    <r>
      <rPr>
        <sz val="9"/>
        <rFont val="Times New Roman"/>
        <family val="1"/>
      </rPr>
      <t>*H</t>
    </r>
    <r>
      <rPr>
        <vertAlign val="subscript"/>
        <sz val="9"/>
        <rFont val="Times New Roman"/>
        <family val="1"/>
      </rPr>
      <t>JS</t>
    </r>
    <r>
      <rPr>
        <sz val="9"/>
        <rFont val="Times New Roman"/>
        <family val="1"/>
      </rPr>
      <t>/d</t>
    </r>
    <r>
      <rPr>
        <vertAlign val="subscript"/>
        <sz val="9"/>
        <rFont val="Times New Roman"/>
        <family val="1"/>
      </rPr>
      <t>0</t>
    </r>
    <phoneticPr fontId="14" type="noConversion"/>
  </si>
  <si>
    <r>
      <t>ξ*</t>
    </r>
    <r>
      <rPr>
        <sz val="9"/>
        <rFont val="Times New Roman"/>
        <family val="1"/>
      </rPr>
      <t>h</t>
    </r>
    <r>
      <rPr>
        <vertAlign val="subscript"/>
        <sz val="9"/>
        <rFont val="Times New Roman"/>
        <family val="1"/>
      </rPr>
      <t>d</t>
    </r>
    <r>
      <rPr>
        <sz val="9"/>
        <rFont val="Times New Roman"/>
        <family val="1"/>
      </rPr>
      <t/>
    </r>
    <phoneticPr fontId="14" type="noConversion"/>
  </si>
  <si>
    <r>
      <t>Δ</t>
    </r>
    <r>
      <rPr>
        <sz val="9"/>
        <rFont val="Times New Roman"/>
        <family val="1"/>
      </rPr>
      <t>h</t>
    </r>
    <r>
      <rPr>
        <vertAlign val="subscript"/>
        <sz val="9"/>
        <rFont val="Times New Roman"/>
        <family val="1"/>
      </rPr>
      <t>d</t>
    </r>
    <r>
      <rPr>
        <sz val="9"/>
        <rFont val="Times New Roman"/>
        <family val="1"/>
      </rPr>
      <t>+Δh</t>
    </r>
    <r>
      <rPr>
        <vertAlign val="subscript"/>
        <sz val="9"/>
        <rFont val="Times New Roman"/>
        <family val="1"/>
      </rPr>
      <t>M</t>
    </r>
    <r>
      <rPr>
        <sz val="9"/>
        <rFont val="Times New Roman"/>
        <family val="1"/>
      </rPr>
      <t>-</t>
    </r>
    <r>
      <rPr>
        <sz val="9"/>
        <rFont val="宋体"/>
        <family val="3"/>
        <charset val="134"/>
      </rPr>
      <t>∑</t>
    </r>
    <r>
      <rPr>
        <sz val="9"/>
        <rFont val="Times New Roman"/>
        <family val="1"/>
      </rPr>
      <t>hzs</t>
    </r>
    <phoneticPr fontId="14" type="noConversion"/>
  </si>
  <si>
    <t>——</t>
    <phoneticPr fontId="14" type="noConversion"/>
  </si>
  <si>
    <t>最热月平均气温</t>
    <phoneticPr fontId="1" type="noConversion"/>
  </si>
  <si>
    <t>Trp</t>
    <phoneticPr fontId="1" type="noConversion"/>
  </si>
  <si>
    <t>烟囱计算</t>
    <phoneticPr fontId="14" type="noConversion"/>
  </si>
  <si>
    <t>几何高度</t>
    <phoneticPr fontId="1" type="noConversion"/>
  </si>
  <si>
    <t>Hs</t>
    <phoneticPr fontId="1" type="noConversion"/>
  </si>
  <si>
    <t>m</t>
    <phoneticPr fontId="1" type="noConversion"/>
  </si>
  <si>
    <t>烟囱温降</t>
    <phoneticPr fontId="1" type="noConversion"/>
  </si>
  <si>
    <t>Δt</t>
  </si>
  <si>
    <t>0.05℃/m</t>
  </si>
  <si>
    <t>Txf</t>
  </si>
  <si>
    <t>Tc</t>
  </si>
  <si>
    <t>Txf-Δt</t>
  </si>
  <si>
    <t>环境平均温度</t>
    <phoneticPr fontId="1" type="noConversion"/>
  </si>
  <si>
    <t>烟囱出口温度</t>
    <phoneticPr fontId="1" type="noConversion"/>
  </si>
  <si>
    <t>烟囱入口温度</t>
    <phoneticPr fontId="1" type="noConversion"/>
  </si>
  <si>
    <t>（Txf+Tc）/2</t>
  </si>
  <si>
    <t>烟囱内平均温度</t>
    <phoneticPr fontId="1" type="noConversion"/>
  </si>
  <si>
    <t>烟囱计算表</t>
    <phoneticPr fontId="14" type="noConversion"/>
  </si>
  <si>
    <t>50:50时   1.1倍</t>
    <phoneticPr fontId="14" type="noConversion"/>
  </si>
  <si>
    <t>风道阻力</t>
    <phoneticPr fontId="14" type="noConversion"/>
  </si>
  <si>
    <t>锅炉本体阻力</t>
    <phoneticPr fontId="14" type="noConversion"/>
  </si>
  <si>
    <t>pg</t>
    <phoneticPr fontId="14" type="noConversion"/>
  </si>
  <si>
    <t>py</t>
    <phoneticPr fontId="14" type="noConversion"/>
  </si>
  <si>
    <t>4、二次风机计算</t>
    <phoneticPr fontId="14" type="noConversion"/>
  </si>
  <si>
    <t>5、引风机计算</t>
    <phoneticPr fontId="14" type="noConversion"/>
  </si>
  <si>
    <t>560KW，10KV</t>
    <phoneticPr fontId="14" type="noConversion"/>
  </si>
  <si>
    <t>锅炉本体烟气阻力</t>
    <phoneticPr fontId="14" type="noConversion"/>
  </si>
  <si>
    <t>脱硝</t>
    <phoneticPr fontId="14" type="noConversion"/>
  </si>
  <si>
    <t>pn</t>
    <phoneticPr fontId="14" type="noConversion"/>
  </si>
  <si>
    <t>除尘器</t>
    <phoneticPr fontId="14" type="noConversion"/>
  </si>
  <si>
    <t>pc</t>
    <phoneticPr fontId="14" type="noConversion"/>
  </si>
  <si>
    <t>Pa</t>
    <phoneticPr fontId="14" type="noConversion"/>
  </si>
  <si>
    <t>风机后脱硫塔及烟囱烟道阻力</t>
    <phoneticPr fontId="14" type="noConversion"/>
  </si>
  <si>
    <t>ph</t>
    <phoneticPr fontId="14" type="noConversion"/>
  </si>
  <si>
    <r>
      <t>p</t>
    </r>
    <r>
      <rPr>
        <vertAlign val="subscript"/>
        <sz val="12"/>
        <rFont val="宋体"/>
        <family val="3"/>
        <charset val="134"/>
      </rPr>
      <t>a</t>
    </r>
    <phoneticPr fontId="14" type="noConversion"/>
  </si>
  <si>
    <t>pa</t>
  </si>
  <si>
    <t>铭牌介质温度</t>
    <phoneticPr fontId="14" type="noConversion"/>
  </si>
  <si>
    <t>空气温度</t>
    <phoneticPr fontId="14" type="noConversion"/>
  </si>
  <si>
    <t>常规20℃</t>
    <phoneticPr fontId="14" type="noConversion"/>
  </si>
  <si>
    <t>烟气温度</t>
    <phoneticPr fontId="14" type="noConversion"/>
  </si>
  <si>
    <t>常规250℃</t>
    <phoneticPr fontId="14" type="noConversion"/>
  </si>
  <si>
    <t>6、返料风机计算</t>
    <phoneticPr fontId="14" type="noConversion"/>
  </si>
  <si>
    <t>风压</t>
    <phoneticPr fontId="14" type="noConversion"/>
  </si>
  <si>
    <t>管道阻力</t>
    <phoneticPr fontId="14" type="noConversion"/>
  </si>
  <si>
    <t>pz</t>
    <phoneticPr fontId="14" type="noConversion"/>
  </si>
  <si>
    <t>22KW，380V</t>
    <phoneticPr fontId="14" type="noConversion"/>
  </si>
  <si>
    <t>900KW，10KV</t>
    <phoneticPr fontId="14" type="noConversion"/>
  </si>
  <si>
    <t>355KW，10KV</t>
    <phoneticPr fontId="14" type="noConversion"/>
  </si>
  <si>
    <r>
      <t>p</t>
    </r>
    <r>
      <rPr>
        <vertAlign val="subscript"/>
        <sz val="12"/>
        <rFont val="宋体"/>
        <family val="3"/>
        <charset val="134"/>
      </rPr>
      <t>1</t>
    </r>
    <r>
      <rPr>
        <sz val="12"/>
        <rFont val="宋体"/>
        <family val="3"/>
        <charset val="134"/>
      </rPr>
      <t>=</t>
    </r>
    <r>
      <rPr>
        <sz val="12"/>
        <rFont val="宋体"/>
        <family val="3"/>
        <charset val="134"/>
      </rPr>
      <t>p*(101325/p</t>
    </r>
    <r>
      <rPr>
        <vertAlign val="subscript"/>
        <sz val="12"/>
        <rFont val="宋体"/>
        <family val="3"/>
        <charset val="134"/>
      </rPr>
      <t>0</t>
    </r>
    <r>
      <rPr>
        <sz val="12"/>
        <rFont val="宋体"/>
        <family val="3"/>
        <charset val="134"/>
      </rPr>
      <t>)</t>
    </r>
    <phoneticPr fontId="14" type="noConversion"/>
  </si>
  <si>
    <t>万t/a</t>
    <phoneticPr fontId="14" type="noConversion"/>
  </si>
  <si>
    <t>单台锅炉额定耗煤量</t>
    <phoneticPr fontId="14" type="noConversion"/>
  </si>
  <si>
    <t>石灰石粉仓储存时间</t>
    <phoneticPr fontId="1" type="noConversion"/>
  </si>
  <si>
    <t>d</t>
    <phoneticPr fontId="1" type="noConversion"/>
  </si>
  <si>
    <t>石灰石粉仓出力</t>
    <phoneticPr fontId="1" type="noConversion"/>
  </si>
  <si>
    <t>kg</t>
    <phoneticPr fontId="1" type="noConversion"/>
  </si>
  <si>
    <t>石灰石粉堆积密度</t>
    <phoneticPr fontId="1" type="noConversion"/>
  </si>
  <si>
    <t>石灰石粉仓体积</t>
    <phoneticPr fontId="1" type="noConversion"/>
  </si>
  <si>
    <t>V</t>
    <phoneticPr fontId="1" type="noConversion"/>
  </si>
  <si>
    <t>t/m³</t>
    <phoneticPr fontId="1" type="noConversion"/>
  </si>
  <si>
    <t>m³</t>
    <phoneticPr fontId="1" type="noConversion"/>
  </si>
  <si>
    <t>高</t>
    <phoneticPr fontId="1" type="noConversion"/>
  </si>
  <si>
    <t>直径</t>
    <phoneticPr fontId="1" type="noConversion"/>
  </si>
  <si>
    <t>汽包内饱和水焓值</t>
    <phoneticPr fontId="1" type="noConversion"/>
  </si>
  <si>
    <t>进汽量</t>
    <phoneticPr fontId="1" type="noConversion"/>
  </si>
  <si>
    <t>t/h</t>
    <phoneticPr fontId="1" type="noConversion"/>
  </si>
  <si>
    <t>选定</t>
    <phoneticPr fontId="1" type="noConversion"/>
  </si>
  <si>
    <t xml:space="preserve">结果-设计 </t>
    <phoneticPr fontId="14" type="noConversion"/>
  </si>
  <si>
    <t>结果-校核</t>
    <phoneticPr fontId="14" type="noConversion"/>
  </si>
  <si>
    <t>断面系数</t>
    <phoneticPr fontId="14" type="noConversion"/>
  </si>
  <si>
    <t>选取</t>
    <phoneticPr fontId="14" type="noConversion"/>
  </si>
  <si>
    <t>物料松散密度</t>
    <phoneticPr fontId="14" type="noConversion"/>
  </si>
  <si>
    <t>皮带最大输送能力</t>
    <phoneticPr fontId="14" type="noConversion"/>
  </si>
  <si>
    <t>〔2〕</t>
    <phoneticPr fontId="14" type="noConversion"/>
  </si>
  <si>
    <t>Vdaf</t>
    <phoneticPr fontId="1" type="noConversion"/>
  </si>
  <si>
    <t>干燥无灰基挥发分</t>
    <phoneticPr fontId="1" type="noConversion"/>
  </si>
  <si>
    <t>（12）</t>
    <phoneticPr fontId="1" type="noConversion"/>
  </si>
  <si>
    <t>生物质燃料资料</t>
    <phoneticPr fontId="1" type="noConversion"/>
  </si>
  <si>
    <t>设计燃料</t>
    <phoneticPr fontId="1" type="noConversion"/>
  </si>
  <si>
    <t>校核燃料</t>
    <phoneticPr fontId="1" type="noConversion"/>
  </si>
  <si>
    <t>——</t>
    <phoneticPr fontId="1" type="noConversion"/>
  </si>
  <si>
    <t>查表</t>
    <phoneticPr fontId="1" type="noConversion"/>
  </si>
  <si>
    <t>计算值</t>
    <phoneticPr fontId="1" type="noConversion"/>
  </si>
  <si>
    <t>过热蒸汽额定流量</t>
    <phoneticPr fontId="1" type="noConversion"/>
  </si>
  <si>
    <t>锅炉厂资料；取2%</t>
    <phoneticPr fontId="1" type="noConversion"/>
  </si>
  <si>
    <t>Dgr*1000*/ηg（(Igr-Igs)+ηpw(ibs-igs)）/Qnet.ar</t>
    <phoneticPr fontId="1" type="noConversion"/>
  </si>
  <si>
    <r>
      <t>G</t>
    </r>
    <r>
      <rPr>
        <sz val="12"/>
        <color indexed="8"/>
        <rFont val="宋体"/>
        <family val="3"/>
        <charset val="134"/>
      </rPr>
      <t>'</t>
    </r>
    <r>
      <rPr>
        <sz val="12"/>
        <color indexed="8"/>
        <rFont val="宋体"/>
        <family val="3"/>
        <charset val="134"/>
      </rPr>
      <t>zhb</t>
    </r>
    <phoneticPr fontId="1" type="noConversion"/>
  </si>
  <si>
    <t>kg/h</t>
    <phoneticPr fontId="1" type="noConversion"/>
  </si>
  <si>
    <t>设计燃料</t>
    <phoneticPr fontId="1" type="noConversion"/>
  </si>
  <si>
    <t>计算值</t>
  </si>
  <si>
    <t>计算值</t>
    <phoneticPr fontId="1" type="noConversion"/>
  </si>
  <si>
    <t>CFB锅炉和ICFB锅炉取0.9；联合炉排炉和水冷振动炉排炉取0.6</t>
    <phoneticPr fontId="1" type="noConversion"/>
  </si>
  <si>
    <t>(1+0.001d)/(1/1.293+0.001d/0.804)</t>
    <phoneticPr fontId="1" type="noConversion"/>
  </si>
  <si>
    <t>（6）</t>
    <phoneticPr fontId="1" type="noConversion"/>
  </si>
  <si>
    <t>查水蒸气焓熵表</t>
    <phoneticPr fontId="1" type="noConversion"/>
  </si>
  <si>
    <t>燃料灰渣量计算表</t>
    <phoneticPr fontId="1" type="noConversion"/>
  </si>
  <si>
    <r>
      <t>Bj*V</t>
    </r>
    <r>
      <rPr>
        <vertAlign val="superscript"/>
        <sz val="12"/>
        <rFont val="宋体"/>
        <family val="3"/>
        <charset val="134"/>
      </rPr>
      <t>o</t>
    </r>
    <r>
      <rPr>
        <sz val="12"/>
        <rFont val="宋体"/>
        <family val="3"/>
        <charset val="134"/>
      </rPr>
      <t>ks</t>
    </r>
    <phoneticPr fontId="1" type="noConversion"/>
  </si>
  <si>
    <r>
      <t>V1</t>
    </r>
    <r>
      <rPr>
        <sz val="12"/>
        <rFont val="宋体"/>
        <family val="3"/>
        <charset val="134"/>
      </rPr>
      <t>N2+V</t>
    </r>
    <r>
      <rPr>
        <vertAlign val="superscript"/>
        <sz val="12"/>
        <rFont val="宋体"/>
        <family val="3"/>
        <charset val="134"/>
      </rPr>
      <t>o</t>
    </r>
    <r>
      <rPr>
        <sz val="12"/>
        <rFont val="宋体"/>
        <family val="3"/>
        <charset val="134"/>
      </rPr>
      <t>RO2+V</t>
    </r>
    <r>
      <rPr>
        <vertAlign val="superscript"/>
        <sz val="12"/>
        <rFont val="宋体"/>
        <family val="3"/>
        <charset val="134"/>
      </rPr>
      <t>o</t>
    </r>
    <r>
      <rPr>
        <sz val="12"/>
        <rFont val="宋体"/>
        <family val="3"/>
        <charset val="134"/>
      </rPr>
      <t>H2O</t>
    </r>
    <phoneticPr fontId="1" type="noConversion"/>
  </si>
  <si>
    <t>1、锅炉燃料耗量</t>
    <phoneticPr fontId="14" type="noConversion"/>
  </si>
  <si>
    <t>〔8〕</t>
    <phoneticPr fontId="14" type="noConversion"/>
  </si>
  <si>
    <t>锅炉额定燃料耗量</t>
    <phoneticPr fontId="14" type="noConversion"/>
  </si>
  <si>
    <t>日耗量</t>
    <phoneticPr fontId="14" type="noConversion"/>
  </si>
  <si>
    <t>年耗量</t>
    <phoneticPr fontId="14" type="noConversion"/>
  </si>
  <si>
    <t>〔9〕</t>
    <phoneticPr fontId="14" type="noConversion"/>
  </si>
  <si>
    <t>〔10〕</t>
    <phoneticPr fontId="14" type="noConversion"/>
  </si>
  <si>
    <t>运载车辆载重</t>
    <phoneticPr fontId="14" type="noConversion"/>
  </si>
  <si>
    <t>t</t>
    <phoneticPr fontId="14" type="noConversion"/>
  </si>
  <si>
    <t>t/车</t>
    <phoneticPr fontId="14" type="noConversion"/>
  </si>
  <si>
    <t>mc</t>
    <phoneticPr fontId="14" type="noConversion"/>
  </si>
  <si>
    <t>辆</t>
    <phoneticPr fontId="14" type="noConversion"/>
  </si>
  <si>
    <t>Md/mc</t>
    <phoneticPr fontId="14" type="noConversion"/>
  </si>
  <si>
    <t>nc</t>
    <phoneticPr fontId="14" type="noConversion"/>
  </si>
  <si>
    <t>原料堆场面积</t>
    <phoneticPr fontId="14" type="noConversion"/>
  </si>
  <si>
    <t>〔1〕</t>
    <phoneticPr fontId="14" type="noConversion"/>
  </si>
  <si>
    <t>〔1〕</t>
    <phoneticPr fontId="14" type="noConversion"/>
  </si>
  <si>
    <t>名称</t>
    <phoneticPr fontId="14" type="noConversion"/>
  </si>
  <si>
    <t>符号</t>
    <phoneticPr fontId="14" type="noConversion"/>
  </si>
  <si>
    <t>单位</t>
    <phoneticPr fontId="14" type="noConversion"/>
  </si>
  <si>
    <t>计算公式</t>
    <phoneticPr fontId="14" type="noConversion"/>
  </si>
  <si>
    <t>结果-设计</t>
    <phoneticPr fontId="14" type="noConversion"/>
  </si>
  <si>
    <t>结果-校核</t>
    <phoneticPr fontId="14" type="noConversion"/>
  </si>
  <si>
    <t>燃料的储备日数</t>
    <phoneticPr fontId="14" type="noConversion"/>
  </si>
  <si>
    <t>d</t>
    <phoneticPr fontId="14" type="noConversion"/>
  </si>
  <si>
    <t>〔2〕</t>
    <phoneticPr fontId="14" type="noConversion"/>
  </si>
  <si>
    <t>〔3〕</t>
    <phoneticPr fontId="14" type="noConversion"/>
  </si>
  <si>
    <t>燃料可存储量</t>
    <phoneticPr fontId="14" type="noConversion"/>
  </si>
  <si>
    <t>Qd*T</t>
    <phoneticPr fontId="14" type="noConversion"/>
  </si>
  <si>
    <t>〔4〕</t>
    <phoneticPr fontId="14" type="noConversion"/>
  </si>
  <si>
    <t>计算堆料系数</t>
    <phoneticPr fontId="14" type="noConversion"/>
  </si>
  <si>
    <t>〔5〕</t>
    <phoneticPr fontId="14" type="noConversion"/>
  </si>
  <si>
    <t>平均堆高</t>
    <phoneticPr fontId="14" type="noConversion"/>
  </si>
  <si>
    <t>〔6〕</t>
    <phoneticPr fontId="14" type="noConversion"/>
  </si>
  <si>
    <t>燃料堆积密度</t>
    <phoneticPr fontId="14" type="noConversion"/>
  </si>
  <si>
    <t>〔7〕</t>
    <phoneticPr fontId="14" type="noConversion"/>
  </si>
  <si>
    <t>m</t>
    <phoneticPr fontId="14" type="noConversion"/>
  </si>
  <si>
    <t>p</t>
    <phoneticPr fontId="14" type="noConversion"/>
  </si>
  <si>
    <t>t/m³</t>
    <phoneticPr fontId="14" type="noConversion"/>
  </si>
  <si>
    <t>-</t>
    <phoneticPr fontId="14" type="noConversion"/>
  </si>
  <si>
    <t>㎡</t>
    <phoneticPr fontId="14" type="noConversion"/>
  </si>
  <si>
    <t>计算值</t>
    <phoneticPr fontId="14" type="noConversion"/>
  </si>
  <si>
    <t>3、干料棚面积</t>
    <phoneticPr fontId="14" type="noConversion"/>
  </si>
  <si>
    <t>t/m³</t>
    <phoneticPr fontId="14" type="noConversion"/>
  </si>
  <si>
    <t>总有效容积</t>
    <phoneticPr fontId="14" type="noConversion"/>
  </si>
  <si>
    <t>每台锅炉设置2个炉前料仓；取2</t>
    <phoneticPr fontId="14" type="noConversion"/>
  </si>
  <si>
    <t>〔6〕</t>
    <phoneticPr fontId="14" type="noConversion"/>
  </si>
  <si>
    <t>〔7〕</t>
    <phoneticPr fontId="14" type="noConversion"/>
  </si>
  <si>
    <t>〔8〕</t>
    <phoneticPr fontId="14" type="noConversion"/>
  </si>
  <si>
    <t>双螺旋给料机总出力</t>
    <phoneticPr fontId="14" type="noConversion"/>
  </si>
  <si>
    <t>双螺旋给料机组数</t>
    <phoneticPr fontId="14" type="noConversion"/>
  </si>
  <si>
    <t>〔3〕</t>
    <phoneticPr fontId="14" type="noConversion"/>
  </si>
  <si>
    <t>〔4〕</t>
    <phoneticPr fontId="14" type="noConversion"/>
  </si>
  <si>
    <t>Bj*k/100</t>
    <phoneticPr fontId="14" type="noConversion"/>
  </si>
  <si>
    <t>单组双螺旋给料机出力</t>
    <phoneticPr fontId="14" type="noConversion"/>
  </si>
  <si>
    <t>料仓数量</t>
    <phoneticPr fontId="14" type="noConversion"/>
  </si>
  <si>
    <t>Qgl</t>
    <phoneticPr fontId="14" type="noConversion"/>
  </si>
  <si>
    <t>Tdc</t>
    <phoneticPr fontId="14" type="noConversion"/>
  </si>
  <si>
    <t>Bdc</t>
    <phoneticPr fontId="14" type="noConversion"/>
  </si>
  <si>
    <t>Ndc</t>
    <phoneticPr fontId="14" type="noConversion"/>
  </si>
  <si>
    <t>Hdc</t>
    <phoneticPr fontId="14" type="noConversion"/>
  </si>
  <si>
    <t>Fdc</t>
    <phoneticPr fontId="14" type="noConversion"/>
  </si>
  <si>
    <t>Tlp</t>
    <phoneticPr fontId="14" type="noConversion"/>
  </si>
  <si>
    <t>Blp</t>
    <phoneticPr fontId="14" type="noConversion"/>
  </si>
  <si>
    <t>Nlp</t>
    <phoneticPr fontId="14" type="noConversion"/>
  </si>
  <si>
    <t>Hlp</t>
    <phoneticPr fontId="14" type="noConversion"/>
  </si>
  <si>
    <t>Flp</t>
    <phoneticPr fontId="14" type="noConversion"/>
  </si>
  <si>
    <t>Blp/(p*Hlp*Nlp)</t>
    <phoneticPr fontId="14" type="noConversion"/>
  </si>
  <si>
    <t>Bdc/(p*Hdc*Ndc)</t>
    <phoneticPr fontId="14" type="noConversion"/>
  </si>
  <si>
    <t>Ngl</t>
    <phoneticPr fontId="14" type="noConversion"/>
  </si>
  <si>
    <t>Qgl/Ngl</t>
    <phoneticPr fontId="14" type="noConversion"/>
  </si>
  <si>
    <t>Nsl</t>
    <phoneticPr fontId="14" type="noConversion"/>
  </si>
  <si>
    <t>Nlq</t>
    <phoneticPr fontId="14" type="noConversion"/>
  </si>
  <si>
    <t>Vlq</t>
    <phoneticPr fontId="14" type="noConversion"/>
  </si>
  <si>
    <t>Vlq/Nlq</t>
    <phoneticPr fontId="14" type="noConversion"/>
  </si>
  <si>
    <t>Nwb</t>
    <phoneticPr fontId="14" type="noConversion"/>
  </si>
  <si>
    <t>单个料仓有效容积-计算</t>
    <phoneticPr fontId="14" type="noConversion"/>
  </si>
  <si>
    <t>单个料仓有效容积-选定</t>
    <phoneticPr fontId="14" type="noConversion"/>
  </si>
  <si>
    <t>反推消耗小时数</t>
    <phoneticPr fontId="14" type="noConversion"/>
  </si>
  <si>
    <t>Vdlq</t>
    <phoneticPr fontId="14" type="noConversion"/>
  </si>
  <si>
    <t>V*p*Nlq/Bj</t>
    <phoneticPr fontId="14" type="noConversion"/>
  </si>
  <si>
    <t>4、尾部料仓有效容积</t>
    <phoneticPr fontId="14" type="noConversion"/>
  </si>
  <si>
    <t>总有效容积</t>
    <phoneticPr fontId="14" type="noConversion"/>
  </si>
  <si>
    <t>消耗小时数</t>
    <phoneticPr fontId="14" type="noConversion"/>
  </si>
  <si>
    <t>Tlq</t>
    <phoneticPr fontId="14" type="noConversion"/>
  </si>
  <si>
    <t>Bj*Tlq/p</t>
    <phoneticPr fontId="14" type="noConversion"/>
  </si>
  <si>
    <t>Twb</t>
    <phoneticPr fontId="14" type="noConversion"/>
  </si>
  <si>
    <t>Vwb</t>
    <phoneticPr fontId="14" type="noConversion"/>
  </si>
  <si>
    <t>Vdwb</t>
    <phoneticPr fontId="14" type="noConversion"/>
  </si>
  <si>
    <t>m³</t>
    <phoneticPr fontId="14" type="noConversion"/>
  </si>
  <si>
    <t>Bj*Twb/p</t>
    <phoneticPr fontId="14" type="noConversion"/>
  </si>
  <si>
    <t>Vwb/Nwb</t>
    <phoneticPr fontId="14" type="noConversion"/>
  </si>
  <si>
    <t>V*p*Nwb/Bj</t>
    <phoneticPr fontId="14" type="noConversion"/>
  </si>
  <si>
    <t>每条皮带输送机设置2个尾部料仓；取2</t>
    <phoneticPr fontId="14" type="noConversion"/>
  </si>
  <si>
    <t>Qdgl</t>
    <phoneticPr fontId="14" type="noConversion"/>
  </si>
  <si>
    <t>Qsl</t>
    <phoneticPr fontId="14" type="noConversion"/>
  </si>
  <si>
    <t>Qdsl</t>
    <phoneticPr fontId="14" type="noConversion"/>
  </si>
  <si>
    <t>Qsl/Nsl</t>
    <phoneticPr fontId="14" type="noConversion"/>
  </si>
  <si>
    <t>5、尾部螺旋给料机出力</t>
    <phoneticPr fontId="14" type="noConversion"/>
  </si>
  <si>
    <t>6、上料系统出力</t>
    <phoneticPr fontId="14" type="noConversion"/>
  </si>
  <si>
    <t>7、炉前料仓有效容积</t>
    <phoneticPr fontId="14" type="noConversion"/>
  </si>
  <si>
    <t>8、炉前螺旋给料机出力</t>
    <phoneticPr fontId="14" type="noConversion"/>
  </si>
  <si>
    <t>取150%</t>
    <phoneticPr fontId="14" type="noConversion"/>
  </si>
  <si>
    <t>锅炉额定容量≤65t/h，皮带输送机采用单路布置，每路出力≥150%锅炉满负荷燃料耗量</t>
    <phoneticPr fontId="14" type="noConversion"/>
  </si>
  <si>
    <t>上料系统按三班制运行，每班运行约为8h</t>
    <phoneticPr fontId="14" type="noConversion"/>
  </si>
  <si>
    <t>〔5〕</t>
    <phoneticPr fontId="14" type="noConversion"/>
  </si>
  <si>
    <t>上料系统出力—计算</t>
    <phoneticPr fontId="14" type="noConversion"/>
  </si>
  <si>
    <t>上料系统出力—选定</t>
    <phoneticPr fontId="14" type="noConversion"/>
  </si>
  <si>
    <t>Bj*150/100</t>
    <phoneticPr fontId="14" type="noConversion"/>
  </si>
  <si>
    <t>皮带宽度</t>
    <phoneticPr fontId="14" type="noConversion"/>
  </si>
  <si>
    <t>皮带速度</t>
    <phoneticPr fontId="14" type="noConversion"/>
  </si>
  <si>
    <t>mm</t>
    <phoneticPr fontId="14" type="noConversion"/>
  </si>
  <si>
    <t>Qmax</t>
    <phoneticPr fontId="14" type="noConversion"/>
  </si>
  <si>
    <t>〔9〕</t>
    <phoneticPr fontId="14" type="noConversion"/>
  </si>
  <si>
    <t>〔10〕</t>
    <phoneticPr fontId="14" type="noConversion"/>
  </si>
  <si>
    <t>上料系统工艺流程：干料棚尾部料仓地下受料斗→尾部料仓双螺旋给料机→皮带输送机→炉前料仓→炉前料仓双螺旋给料机</t>
    <phoneticPr fontId="14" type="noConversion"/>
  </si>
  <si>
    <t>脱硫系统工艺选择原则：</t>
    <phoneticPr fontId="1" type="noConversion"/>
  </si>
  <si>
    <t>燃料中的含硫量燃烧后氧化成SO2的份额</t>
    <phoneticPr fontId="1" type="noConversion"/>
  </si>
  <si>
    <t>脱硝系统工艺选择原则：</t>
    <phoneticPr fontId="1" type="noConversion"/>
  </si>
  <si>
    <t>脱硝系统主要有SNCR炉内脱硝法和SCR炉外脱硝法两种，综合考虑占地面积、系统复杂度、建设投资、脱硝效率、氨逃逸率、催化剂中毒、运营维护费用等多方面因素，对于中小型生物质锅炉，SNCR炉内脱硝法相比SCR炉外脱硝法具有更好的技术和经济性能，因而在计算软件界面上，脱硝系统默认为SNCR炉内脱硝法。</t>
    <phoneticPr fontId="1" type="noConversion"/>
  </si>
  <si>
    <t>炉内喷钙取80</t>
    <phoneticPr fontId="1" type="noConversion"/>
  </si>
  <si>
    <t>项目</t>
    <phoneticPr fontId="1" type="noConversion"/>
  </si>
  <si>
    <t>由于生物质燃料的含硫量很低，一般低于0.10%，因而即使不设脱硫设施，也可满足现行排放标准，但考虑到环保要求日益严苛，中小型CFB锅炉脱硫系统一般采用干法脱硫工艺，即炉内喷钙法，同时可以考虑预留炉后半干法或湿法脱硫的场地及空间。在计算软件界面上，脱硫系统默认为炉内喷钙工艺。</t>
    <phoneticPr fontId="1" type="noConversion"/>
  </si>
  <si>
    <r>
      <t>引风机进口</t>
    </r>
    <r>
      <rPr>
        <b/>
        <sz val="12"/>
        <color rgb="FFFF0000"/>
        <rFont val="宋体"/>
        <family val="3"/>
        <charset val="134"/>
      </rPr>
      <t>（湿法脱硫）</t>
    </r>
    <phoneticPr fontId="1" type="noConversion"/>
  </si>
  <si>
    <r>
      <t>除尘器出口</t>
    </r>
    <r>
      <rPr>
        <b/>
        <sz val="12"/>
        <color rgb="FFFF0000"/>
        <rFont val="宋体"/>
        <family val="3"/>
        <charset val="134"/>
      </rPr>
      <t>（湿法脱硫）</t>
    </r>
    <phoneticPr fontId="1" type="noConversion"/>
  </si>
  <si>
    <t>H</t>
    <phoneticPr fontId="1" type="noConversion"/>
  </si>
  <si>
    <t>D</t>
    <phoneticPr fontId="1" type="noConversion"/>
  </si>
  <si>
    <t>m</t>
    <phoneticPr fontId="1" type="noConversion"/>
  </si>
  <si>
    <t>取8</t>
    <phoneticPr fontId="1" type="noConversion"/>
  </si>
  <si>
    <t>计算值</t>
    <phoneticPr fontId="1" type="noConversion"/>
  </si>
  <si>
    <t>d</t>
    <phoneticPr fontId="1" type="noConversion"/>
  </si>
  <si>
    <t xml:space="preserve"> 《秸秆发电厂设计规范》《小火规》《火力发电厂除灰设计规程》</t>
    <phoneticPr fontId="1" type="noConversion"/>
  </si>
  <si>
    <t>（9）</t>
    <phoneticPr fontId="1" type="noConversion"/>
  </si>
  <si>
    <t>（10）</t>
    <phoneticPr fontId="1" type="noConversion"/>
  </si>
  <si>
    <t>mg/Nm3</t>
    <phoneticPr fontId="1" type="noConversion"/>
  </si>
  <si>
    <t>已知</t>
    <phoneticPr fontId="1" type="noConversion"/>
  </si>
  <si>
    <r>
      <t>C''</t>
    </r>
    <r>
      <rPr>
        <vertAlign val="subscript"/>
        <sz val="9"/>
        <color indexed="8"/>
        <rFont val="宋体"/>
        <family val="3"/>
        <charset val="134"/>
      </rPr>
      <t>SO2</t>
    </r>
    <phoneticPr fontId="1" type="noConversion"/>
  </si>
  <si>
    <r>
      <t>M</t>
    </r>
    <r>
      <rPr>
        <sz val="12"/>
        <color indexed="8"/>
        <rFont val="宋体"/>
        <family val="3"/>
        <charset val="134"/>
      </rPr>
      <t>'</t>
    </r>
    <r>
      <rPr>
        <vertAlign val="subscript"/>
        <sz val="12"/>
        <color indexed="8"/>
        <rFont val="宋体"/>
        <family val="3"/>
        <charset val="134"/>
      </rPr>
      <t>SO2</t>
    </r>
    <phoneticPr fontId="1" type="noConversion"/>
  </si>
  <si>
    <t>（14）</t>
    <phoneticPr fontId="1" type="noConversion"/>
  </si>
  <si>
    <t>环保要求颗粒物的排放浓度</t>
    <phoneticPr fontId="1" type="noConversion"/>
  </si>
  <si>
    <t>mg/m3</t>
    <phoneticPr fontId="1" type="noConversion"/>
  </si>
  <si>
    <t>1、SO2的排放浓度＜100mg/Nm3；                2、NOx排放浓度＜100mg/Nm3。</t>
    <phoneticPr fontId="1" type="noConversion"/>
  </si>
  <si>
    <t>国内生物质发电项目现行烟气排放标准：</t>
    <phoneticPr fontId="1" type="noConversion"/>
  </si>
  <si>
    <t>国内生物质发电项目现行烟气排放标准：颗粒物的排放浓度＜30mg/Nm3。</t>
    <phoneticPr fontId="1" type="noConversion"/>
  </si>
  <si>
    <t>输灰系统耗气量计算---空压站</t>
    <phoneticPr fontId="14" type="noConversion"/>
  </si>
  <si>
    <t>锅炉点火系统</t>
    <phoneticPr fontId="1" type="noConversion"/>
  </si>
  <si>
    <t>（2）</t>
    <phoneticPr fontId="1" type="noConversion"/>
  </si>
  <si>
    <t>（3）</t>
    <phoneticPr fontId="1" type="noConversion"/>
  </si>
  <si>
    <t>Qlqs</t>
    <phoneticPr fontId="1" type="noConversion"/>
  </si>
  <si>
    <t>t/h</t>
    <phoneticPr fontId="1" type="noConversion"/>
  </si>
  <si>
    <t>Glz*6</t>
    <phoneticPr fontId="1" type="noConversion"/>
  </si>
  <si>
    <t>灰仓充满系数</t>
    <phoneticPr fontId="1" type="noConversion"/>
  </si>
  <si>
    <t>n*Gz</t>
    <phoneticPr fontId="1" type="noConversion"/>
  </si>
  <si>
    <t>钢渣仓有效容积</t>
    <phoneticPr fontId="1" type="noConversion"/>
  </si>
  <si>
    <t>灰仓有效容积</t>
    <phoneticPr fontId="1" type="noConversion"/>
  </si>
  <si>
    <t>层燃炉（包括联合炉排炉、水冷振动炉排炉）</t>
    <phoneticPr fontId="1" type="noConversion"/>
  </si>
  <si>
    <t>炉型</t>
    <phoneticPr fontId="1" type="noConversion"/>
  </si>
  <si>
    <t>点火方式</t>
    <phoneticPr fontId="1" type="noConversion"/>
  </si>
  <si>
    <t>序号</t>
    <phoneticPr fontId="1" type="noConversion"/>
  </si>
  <si>
    <t>循环流化床锅炉（含差速床）</t>
    <phoneticPr fontId="1" type="noConversion"/>
  </si>
  <si>
    <t>0#轻柴油点火（一般为床下点火）</t>
    <phoneticPr fontId="1" type="noConversion"/>
  </si>
  <si>
    <t>人工点火（即床上火把点火）</t>
    <phoneticPr fontId="1" type="noConversion"/>
  </si>
  <si>
    <t>日用油罐</t>
    <phoneticPr fontId="1" type="noConversion"/>
  </si>
  <si>
    <t>设备名称</t>
    <phoneticPr fontId="1" type="noConversion"/>
  </si>
  <si>
    <t>数量</t>
    <phoneticPr fontId="1" type="noConversion"/>
  </si>
  <si>
    <t>主要参数</t>
    <phoneticPr fontId="1" type="noConversion"/>
  </si>
  <si>
    <t>供油泵</t>
    <phoneticPr fontId="1" type="noConversion"/>
  </si>
  <si>
    <t>单位</t>
    <phoneticPr fontId="1" type="noConversion"/>
  </si>
  <si>
    <t>容积V</t>
    <phoneticPr fontId="1" type="noConversion"/>
  </si>
  <si>
    <t>m3</t>
    <phoneticPr fontId="1" type="noConversion"/>
  </si>
  <si>
    <t>蒸汽参数</t>
    <phoneticPr fontId="1" type="noConversion"/>
  </si>
  <si>
    <t>额定蒸发量</t>
    <phoneticPr fontId="1" type="noConversion"/>
  </si>
  <si>
    <t>安装方式</t>
    <phoneticPr fontId="1" type="noConversion"/>
  </si>
  <si>
    <t>启动锅炉系统</t>
    <phoneticPr fontId="1" type="noConversion"/>
  </si>
  <si>
    <t>低压参数，一般为0.32MPa（g）/204℃</t>
    <phoneticPr fontId="1" type="noConversion"/>
  </si>
  <si>
    <t>快装式</t>
    <phoneticPr fontId="1" type="noConversion"/>
  </si>
  <si>
    <t>厂内汽水损失</t>
    <phoneticPr fontId="1" type="noConversion"/>
  </si>
  <si>
    <t>锅炉排污损失</t>
    <phoneticPr fontId="1" type="noConversion"/>
  </si>
  <si>
    <t>机组启动或事故增加损失</t>
    <phoneticPr fontId="1" type="noConversion"/>
  </si>
  <si>
    <t>外供汽损失</t>
    <phoneticPr fontId="1" type="noConversion"/>
  </si>
  <si>
    <t>自用水量</t>
    <phoneticPr fontId="1" type="noConversion"/>
  </si>
  <si>
    <t>锅炉补给水系统正常出力</t>
    <phoneticPr fontId="1" type="noConversion"/>
  </si>
  <si>
    <t>锅炉补给水系统最大出力</t>
    <phoneticPr fontId="1" type="noConversion"/>
  </si>
  <si>
    <t>公式及计算</t>
    <phoneticPr fontId="1" type="noConversion"/>
  </si>
  <si>
    <t>结果</t>
    <phoneticPr fontId="1" type="noConversion"/>
  </si>
  <si>
    <t>Dgr*10%</t>
    <phoneticPr fontId="1" type="noConversion"/>
  </si>
  <si>
    <t>Dgr*2%</t>
    <phoneticPr fontId="1" type="noConversion"/>
  </si>
  <si>
    <t>ηg</t>
    <phoneticPr fontId="1" type="noConversion"/>
  </si>
  <si>
    <t>除盐水箱有效容积</t>
    <phoneticPr fontId="1" type="noConversion"/>
  </si>
  <si>
    <t>Q</t>
    <phoneticPr fontId="1" type="noConversion"/>
  </si>
  <si>
    <t>锅炉补给水系统（根据《秸秆发电厂设计规范》、《小型火力发电厂设计规范》）</t>
    <phoneticPr fontId="1" type="noConversion"/>
  </si>
  <si>
    <t>系统出力选择</t>
    <phoneticPr fontId="1" type="noConversion"/>
  </si>
  <si>
    <t>水箱容积选择</t>
    <phoneticPr fontId="1" type="noConversion"/>
  </si>
  <si>
    <t>循环流化床（含差速床）点火油系统</t>
    <phoneticPr fontId="1" type="noConversion"/>
  </si>
  <si>
    <t>压力P</t>
    <phoneticPr fontId="1" type="noConversion"/>
  </si>
  <si>
    <t>MPa</t>
    <phoneticPr fontId="1" type="noConversion"/>
  </si>
  <si>
    <t>出力Q（单台）</t>
    <phoneticPr fontId="1" type="noConversion"/>
  </si>
  <si>
    <r>
      <t>（1）燃油/燃气               （2）电加热                  （3）</t>
    </r>
    <r>
      <rPr>
        <sz val="11"/>
        <color rgb="FFFF0000"/>
        <rFont val="宋体"/>
        <family val="3"/>
        <charset val="134"/>
        <scheme val="minor"/>
      </rPr>
      <t>燃生物质</t>
    </r>
    <phoneticPr fontId="1" type="noConversion"/>
  </si>
  <si>
    <t>燃料类型</t>
    <phoneticPr fontId="1" type="noConversion"/>
  </si>
  <si>
    <t>〔1〕</t>
    <phoneticPr fontId="1" type="noConversion"/>
  </si>
  <si>
    <t>〔2〕</t>
    <phoneticPr fontId="1" type="noConversion"/>
  </si>
  <si>
    <t>〔3〕</t>
    <phoneticPr fontId="1" type="noConversion"/>
  </si>
  <si>
    <t>〔4〕</t>
    <phoneticPr fontId="1" type="noConversion"/>
  </si>
  <si>
    <t>〔5〕</t>
    <phoneticPr fontId="1" type="noConversion"/>
  </si>
  <si>
    <t>〔6〕</t>
    <phoneticPr fontId="1" type="noConversion"/>
  </si>
  <si>
    <t>〔7〕</t>
    <phoneticPr fontId="1" type="noConversion"/>
  </si>
  <si>
    <t>〔8〕</t>
    <phoneticPr fontId="1" type="noConversion"/>
  </si>
  <si>
    <t>〔9〕</t>
    <phoneticPr fontId="1" type="noConversion"/>
  </si>
  <si>
    <t>(〔1〕+〔2〕+〔4〕）*10%</t>
    <phoneticPr fontId="1" type="noConversion"/>
  </si>
  <si>
    <t>〔1〕＋〔2〕＋〔4〕＋〔5〕</t>
    <phoneticPr fontId="1" type="noConversion"/>
  </si>
  <si>
    <t>〔1〕＋〔2〕＋〔3〕＋〔4〕＋〔5〕</t>
    <phoneticPr fontId="1" type="noConversion"/>
  </si>
  <si>
    <t>Qwg*（1-ηhs）</t>
    <phoneticPr fontId="1" type="noConversion"/>
  </si>
  <si>
    <t>〔1〕</t>
    <phoneticPr fontId="1" type="noConversion"/>
  </si>
  <si>
    <r>
      <t>(NH</t>
    </r>
    <r>
      <rPr>
        <vertAlign val="subscript"/>
        <sz val="12"/>
        <color indexed="8"/>
        <rFont val="宋体"/>
        <family val="3"/>
        <charset val="134"/>
      </rPr>
      <t>2</t>
    </r>
    <r>
      <rPr>
        <sz val="12"/>
        <color indexed="8"/>
        <rFont val="宋体"/>
        <family val="3"/>
        <charset val="134"/>
      </rPr>
      <t xml:space="preserve"> )</t>
    </r>
    <r>
      <rPr>
        <vertAlign val="subscript"/>
        <sz val="12"/>
        <color indexed="8"/>
        <rFont val="宋体"/>
        <family val="3"/>
        <charset val="134"/>
      </rPr>
      <t>2</t>
    </r>
    <r>
      <rPr>
        <sz val="12"/>
        <color indexed="8"/>
        <rFont val="宋体"/>
        <family val="3"/>
        <charset val="134"/>
      </rPr>
      <t>CO→2NH</t>
    </r>
    <r>
      <rPr>
        <vertAlign val="subscript"/>
        <sz val="12"/>
        <color indexed="8"/>
        <rFont val="宋体"/>
        <family val="3"/>
        <charset val="134"/>
      </rPr>
      <t>3</t>
    </r>
    <r>
      <rPr>
        <sz val="12"/>
        <color indexed="8"/>
        <rFont val="宋体"/>
        <family val="3"/>
        <charset val="134"/>
      </rPr>
      <t xml:space="preserve"> + CO</t>
    </r>
    <phoneticPr fontId="1" type="noConversion"/>
  </si>
  <si>
    <t>综合除尘效率</t>
    <phoneticPr fontId="1" type="noConversion"/>
  </si>
  <si>
    <t>锅炉补给水系统出力</t>
    <phoneticPr fontId="1" type="noConversion"/>
  </si>
  <si>
    <t>计算值</t>
    <phoneticPr fontId="14" type="noConversion"/>
  </si>
  <si>
    <t>〔3〕</t>
    <phoneticPr fontId="14" type="noConversion"/>
  </si>
  <si>
    <t>〔4〕</t>
    <phoneticPr fontId="14" type="noConversion"/>
  </si>
  <si>
    <t>风量裕量≥10%，取30%</t>
    <phoneticPr fontId="14" type="noConversion"/>
  </si>
  <si>
    <t>压头裕量≥20%，取20%</t>
    <phoneticPr fontId="14" type="noConversion"/>
  </si>
  <si>
    <t>风量裕量≥20%，取30%</t>
    <phoneticPr fontId="14" type="noConversion"/>
  </si>
  <si>
    <t>风量裕量≥10%，取10%</t>
    <phoneticPr fontId="14" type="noConversion"/>
  </si>
  <si>
    <t>选型结果</t>
    <phoneticPr fontId="14" type="noConversion"/>
  </si>
  <si>
    <t>符号</t>
    <phoneticPr fontId="14" type="noConversion"/>
  </si>
  <si>
    <t>单位</t>
    <phoneticPr fontId="14" type="noConversion"/>
  </si>
  <si>
    <t>说明</t>
    <phoneticPr fontId="14" type="noConversion"/>
  </si>
  <si>
    <t>计算公式</t>
    <phoneticPr fontId="14" type="noConversion"/>
  </si>
  <si>
    <t>结果</t>
    <phoneticPr fontId="14" type="noConversion"/>
  </si>
  <si>
    <t>锅炉蒸发量</t>
    <phoneticPr fontId="14" type="noConversion"/>
  </si>
  <si>
    <t>t/h</t>
    <phoneticPr fontId="14" type="noConversion"/>
  </si>
  <si>
    <t>数据输入</t>
    <phoneticPr fontId="14" type="noConversion"/>
  </si>
  <si>
    <t>排放时间</t>
    <phoneticPr fontId="14" type="noConversion"/>
  </si>
  <si>
    <t>t</t>
    <phoneticPr fontId="14" type="noConversion"/>
  </si>
  <si>
    <t>min</t>
    <phoneticPr fontId="14" type="noConversion"/>
  </si>
  <si>
    <t>定期排污率</t>
    <phoneticPr fontId="14" type="noConversion"/>
  </si>
  <si>
    <t>η</t>
    <phoneticPr fontId="14" type="noConversion"/>
  </si>
  <si>
    <t>/</t>
    <phoneticPr fontId="14" type="noConversion"/>
  </si>
  <si>
    <t>定期排污水量</t>
    <phoneticPr fontId="14" type="noConversion"/>
  </si>
  <si>
    <t>Dpb</t>
    <phoneticPr fontId="14" type="noConversion"/>
  </si>
  <si>
    <t>kg/h</t>
    <phoneticPr fontId="14" type="noConversion"/>
  </si>
  <si>
    <t>汽包压力</t>
    <phoneticPr fontId="14" type="noConversion"/>
  </si>
  <si>
    <t>P</t>
    <phoneticPr fontId="14" type="noConversion"/>
  </si>
  <si>
    <t>汽包压力下的饱和水焓</t>
    <phoneticPr fontId="14" type="noConversion"/>
  </si>
  <si>
    <r>
      <t>h</t>
    </r>
    <r>
      <rPr>
        <vertAlign val="subscript"/>
        <sz val="12"/>
        <rFont val="仿宋_GB2312"/>
        <family val="3"/>
        <charset val="134"/>
      </rPr>
      <t>d</t>
    </r>
    <phoneticPr fontId="14" type="noConversion"/>
  </si>
  <si>
    <t>kj/kg</t>
    <phoneticPr fontId="14" type="noConversion"/>
  </si>
  <si>
    <t>排污扩容器工作压力</t>
    <phoneticPr fontId="14" type="noConversion"/>
  </si>
  <si>
    <t>扩容器压力下饱和水焓</t>
    <phoneticPr fontId="14" type="noConversion"/>
  </si>
  <si>
    <t>hs</t>
    <phoneticPr fontId="14" type="noConversion"/>
  </si>
  <si>
    <t>扩容器压力下汽化潜热</t>
    <phoneticPr fontId="14" type="noConversion"/>
  </si>
  <si>
    <t>r</t>
    <phoneticPr fontId="14" type="noConversion"/>
  </si>
  <si>
    <t>查表（饱和汽焓-饱和水焓）</t>
    <phoneticPr fontId="14" type="noConversion"/>
  </si>
  <si>
    <t>扩容器单位容积润许极限强度</t>
    <phoneticPr fontId="14" type="noConversion"/>
  </si>
  <si>
    <t>R</t>
    <phoneticPr fontId="14" type="noConversion"/>
  </si>
  <si>
    <t>m3/（m3/kg）</t>
    <phoneticPr fontId="14" type="noConversion"/>
  </si>
  <si>
    <t>排污扩容容积</t>
    <phoneticPr fontId="14" type="noConversion"/>
  </si>
  <si>
    <t>Vv</t>
    <phoneticPr fontId="14" type="noConversion"/>
  </si>
  <si>
    <t>m³</t>
    <phoneticPr fontId="14" type="noConversion"/>
  </si>
  <si>
    <t>选取</t>
    <phoneticPr fontId="14" type="noConversion"/>
  </si>
  <si>
    <t>连续排污率</t>
    <phoneticPr fontId="14" type="noConversion"/>
  </si>
  <si>
    <t>连续排污水量</t>
    <phoneticPr fontId="14" type="noConversion"/>
  </si>
  <si>
    <t>D0*1000*η</t>
    <phoneticPr fontId="14" type="noConversion"/>
  </si>
  <si>
    <t>汽包压力</t>
    <phoneticPr fontId="14" type="noConversion"/>
  </si>
  <si>
    <t>P</t>
    <phoneticPr fontId="14" type="noConversion"/>
  </si>
  <si>
    <t>汽包压力下的饱和水焓</t>
    <phoneticPr fontId="14" type="noConversion"/>
  </si>
  <si>
    <r>
      <t>h</t>
    </r>
    <r>
      <rPr>
        <vertAlign val="subscript"/>
        <sz val="12"/>
        <rFont val="仿宋_GB2312"/>
        <family val="3"/>
        <charset val="134"/>
      </rPr>
      <t>d</t>
    </r>
    <phoneticPr fontId="14" type="noConversion"/>
  </si>
  <si>
    <t>kj/kg</t>
    <phoneticPr fontId="14" type="noConversion"/>
  </si>
  <si>
    <t>扩容器压力下蒸汽比容</t>
    <phoneticPr fontId="14" type="noConversion"/>
  </si>
  <si>
    <t>υ</t>
  </si>
  <si>
    <t>m3/kg</t>
    <phoneticPr fontId="14" type="noConversion"/>
  </si>
  <si>
    <t>查表</t>
    <phoneticPr fontId="14" type="noConversion"/>
  </si>
  <si>
    <t>X</t>
    <phoneticPr fontId="14" type="noConversion"/>
  </si>
  <si>
    <t>排污水汽化量</t>
    <phoneticPr fontId="14" type="noConversion"/>
  </si>
  <si>
    <t>Df</t>
    <phoneticPr fontId="14" type="noConversion"/>
  </si>
  <si>
    <t>kg/kg</t>
    <phoneticPr fontId="14" type="noConversion"/>
  </si>
  <si>
    <t>(hd*η-hs)/xr</t>
    <phoneticPr fontId="14" type="noConversion"/>
  </si>
  <si>
    <t>排污扩容汽容积</t>
    <phoneticPr fontId="14" type="noConversion"/>
  </si>
  <si>
    <t>1.2的富裕系数，水容积为汽容积的1/4</t>
    <phoneticPr fontId="14" type="noConversion"/>
  </si>
  <si>
    <t>1、定期排污扩容器</t>
    <phoneticPr fontId="14" type="noConversion"/>
  </si>
  <si>
    <t>2、连续排污扩容器</t>
    <phoneticPr fontId="14" type="noConversion"/>
  </si>
  <si>
    <t>〔2〕</t>
    <phoneticPr fontId="14" type="noConversion"/>
  </si>
  <si>
    <t>〔5〕</t>
    <phoneticPr fontId="14" type="noConversion"/>
  </si>
  <si>
    <t>〔6〕</t>
    <phoneticPr fontId="14" type="noConversion"/>
  </si>
  <si>
    <t>〔7〕</t>
    <phoneticPr fontId="14" type="noConversion"/>
  </si>
  <si>
    <t>〔8〕</t>
    <phoneticPr fontId="14" type="noConversion"/>
  </si>
  <si>
    <t>〔9〕</t>
    <phoneticPr fontId="14" type="noConversion"/>
  </si>
  <si>
    <t>〔10〕</t>
    <phoneticPr fontId="14" type="noConversion"/>
  </si>
  <si>
    <t>〔11〕</t>
    <phoneticPr fontId="14" type="noConversion"/>
  </si>
  <si>
    <t>〔12〕</t>
    <phoneticPr fontId="14" type="noConversion"/>
  </si>
  <si>
    <t>〔13〕</t>
    <phoneticPr fontId="14" type="noConversion"/>
  </si>
  <si>
    <t>〔14〕</t>
    <phoneticPr fontId="14" type="noConversion"/>
  </si>
  <si>
    <t>Dgr</t>
    <phoneticPr fontId="14" type="noConversion"/>
  </si>
  <si>
    <t>Dgr*1000*t*60*η</t>
    <phoneticPr fontId="14" type="noConversion"/>
  </si>
  <si>
    <t>考虑紧急放水后：DP-7.5</t>
    <phoneticPr fontId="14" type="noConversion"/>
  </si>
  <si>
    <t>LP-3.5/LP-1.5</t>
    <phoneticPr fontId="14" type="noConversion"/>
  </si>
  <si>
    <t>扩容器单位容积允许极限强度</t>
    <phoneticPr fontId="14" type="noConversion"/>
  </si>
  <si>
    <t>MPa</t>
    <phoneticPr fontId="14" type="noConversion"/>
  </si>
  <si>
    <t>扩容器蒸汽干度</t>
    <phoneticPr fontId="14" type="noConversion"/>
  </si>
  <si>
    <r>
      <t>V</t>
    </r>
    <r>
      <rPr>
        <vertAlign val="subscript"/>
        <sz val="12"/>
        <rFont val="宋体"/>
        <family val="3"/>
        <charset val="134"/>
      </rPr>
      <t>g</t>
    </r>
    <r>
      <rPr>
        <vertAlign val="subscript"/>
        <sz val="12"/>
        <rFont val="Times New Roman"/>
        <family val="1"/>
      </rPr>
      <t>y-O2</t>
    </r>
    <phoneticPr fontId="1" type="noConversion"/>
  </si>
  <si>
    <t>计算堆料系数</t>
    <phoneticPr fontId="14" type="noConversion"/>
  </si>
  <si>
    <t>平均堆高</t>
    <phoneticPr fontId="14" type="noConversion"/>
  </si>
  <si>
    <t>取150%</t>
    <phoneticPr fontId="14" type="noConversion"/>
  </si>
  <si>
    <t>料仓数量</t>
    <phoneticPr fontId="14" type="noConversion"/>
  </si>
  <si>
    <t>65t/h及以下：宜取2；65t/h以上：宜取4</t>
    <phoneticPr fontId="14" type="noConversion"/>
  </si>
  <si>
    <t>计算耗料量</t>
    <phoneticPr fontId="1" type="noConversion"/>
  </si>
  <si>
    <t>环保要求SO2的排放浓度</t>
    <phoneticPr fontId="1" type="noConversion"/>
  </si>
  <si>
    <t>石灰石粉仓充满系数</t>
    <phoneticPr fontId="1" type="noConversion"/>
  </si>
  <si>
    <t>烟囱出口烟气浓度（实态）</t>
    <phoneticPr fontId="1" type="noConversion"/>
  </si>
  <si>
    <t>冷却水量（单台）</t>
    <phoneticPr fontId="1" type="noConversion"/>
  </si>
  <si>
    <t>2~6t/h</t>
    <phoneticPr fontId="1" type="noConversion"/>
  </si>
  <si>
    <t>工艺路线：（1）预处理 + 两级反渗透（两级RO） + 填充床电渗析（EDI）处理；                          （2）预处理+两级反渗透（两级RO）+混床处理。</t>
    <phoneticPr fontId="1" type="noConversion"/>
  </si>
  <si>
    <t>Qnet.Ar*Bg*15%/10000/4.1868/1000</t>
    <phoneticPr fontId="1" type="noConversion"/>
  </si>
  <si>
    <t>Q*5</t>
    <phoneticPr fontId="1" type="noConversion"/>
  </si>
  <si>
    <t>Pb</t>
    <phoneticPr fontId="1" type="noConversion"/>
  </si>
  <si>
    <t>kPa</t>
    <phoneticPr fontId="1" type="noConversion"/>
  </si>
  <si>
    <t>t</t>
    <phoneticPr fontId="1" type="noConversion"/>
  </si>
  <si>
    <t>φ</t>
    <phoneticPr fontId="1" type="noConversion"/>
  </si>
  <si>
    <t>%</t>
    <phoneticPr fontId="1" type="noConversion"/>
  </si>
  <si>
    <t>P</t>
  </si>
  <si>
    <t>生物质热电项目需求调研表</t>
  </si>
  <si>
    <t>序号</t>
  </si>
  <si>
    <t>项目</t>
  </si>
  <si>
    <t>符号</t>
  </si>
  <si>
    <t>单位</t>
  </si>
  <si>
    <t>数值</t>
  </si>
  <si>
    <t>备注</t>
  </si>
  <si>
    <t>一</t>
  </si>
  <si>
    <t>生物质燃料情况</t>
  </si>
  <si>
    <t>燃料种类</t>
  </si>
  <si>
    <t>设计燃料</t>
  </si>
  <si>
    <t>校核燃料</t>
  </si>
  <si>
    <t>燃料收到基的元素分析及工业分析</t>
  </si>
  <si>
    <t>碳</t>
  </si>
  <si>
    <r>
      <t>C</t>
    </r>
    <r>
      <rPr>
        <vertAlign val="subscript"/>
        <sz val="12"/>
        <color theme="1"/>
        <rFont val="Times New Roman"/>
        <family val="1"/>
      </rPr>
      <t>ar</t>
    </r>
  </si>
  <si>
    <t>氢</t>
  </si>
  <si>
    <r>
      <t>H</t>
    </r>
    <r>
      <rPr>
        <vertAlign val="subscript"/>
        <sz val="12"/>
        <color theme="1"/>
        <rFont val="Times New Roman"/>
        <family val="1"/>
      </rPr>
      <t>ar</t>
    </r>
  </si>
  <si>
    <t>氧</t>
  </si>
  <si>
    <r>
      <t>O</t>
    </r>
    <r>
      <rPr>
        <vertAlign val="subscript"/>
        <sz val="12"/>
        <color theme="1"/>
        <rFont val="Times New Roman"/>
        <family val="1"/>
      </rPr>
      <t>ar</t>
    </r>
  </si>
  <si>
    <t>氮</t>
  </si>
  <si>
    <r>
      <t>N</t>
    </r>
    <r>
      <rPr>
        <vertAlign val="subscript"/>
        <sz val="12"/>
        <color theme="1"/>
        <rFont val="Times New Roman"/>
        <family val="1"/>
      </rPr>
      <t>ar</t>
    </r>
  </si>
  <si>
    <t>硫</t>
  </si>
  <si>
    <r>
      <t>S</t>
    </r>
    <r>
      <rPr>
        <vertAlign val="subscript"/>
        <sz val="12"/>
        <color theme="1"/>
        <rFont val="Times New Roman"/>
        <family val="1"/>
      </rPr>
      <t>ar</t>
    </r>
  </si>
  <si>
    <t>水分</t>
  </si>
  <si>
    <r>
      <t>M</t>
    </r>
    <r>
      <rPr>
        <vertAlign val="subscript"/>
        <sz val="12"/>
        <color theme="1"/>
        <rFont val="Times New Roman"/>
        <family val="1"/>
      </rPr>
      <t>ar</t>
    </r>
  </si>
  <si>
    <t>挥发分</t>
  </si>
  <si>
    <t>灰分</t>
  </si>
  <si>
    <r>
      <t>A</t>
    </r>
    <r>
      <rPr>
        <vertAlign val="subscript"/>
        <sz val="12"/>
        <color theme="1"/>
        <rFont val="Times New Roman"/>
        <family val="1"/>
      </rPr>
      <t>ar</t>
    </r>
  </si>
  <si>
    <t>固定碳</t>
  </si>
  <si>
    <r>
      <t>FC</t>
    </r>
    <r>
      <rPr>
        <vertAlign val="subscript"/>
        <sz val="12"/>
        <color theme="1"/>
        <rFont val="Times New Roman"/>
        <family val="1"/>
      </rPr>
      <t>ar</t>
    </r>
  </si>
  <si>
    <t>收到基低位发热量</t>
  </si>
  <si>
    <r>
      <t>Q</t>
    </r>
    <r>
      <rPr>
        <vertAlign val="subscript"/>
        <sz val="12"/>
        <color theme="1"/>
        <rFont val="Times New Roman"/>
        <family val="1"/>
      </rPr>
      <t>net</t>
    </r>
    <r>
      <rPr>
        <vertAlign val="subscript"/>
        <sz val="12"/>
        <color theme="1"/>
        <rFont val="宋体"/>
        <family val="3"/>
        <charset val="134"/>
      </rPr>
      <t>，</t>
    </r>
    <r>
      <rPr>
        <vertAlign val="subscript"/>
        <sz val="12"/>
        <color theme="1"/>
        <rFont val="Times New Roman"/>
        <family val="1"/>
      </rPr>
      <t>ar</t>
    </r>
    <r>
      <rPr>
        <vertAlign val="subscript"/>
        <sz val="12"/>
        <color theme="1"/>
        <rFont val="宋体"/>
        <family val="3"/>
        <charset val="134"/>
      </rPr>
      <t>，</t>
    </r>
    <r>
      <rPr>
        <vertAlign val="subscript"/>
        <sz val="12"/>
        <color theme="1"/>
        <rFont val="Times New Roman"/>
        <family val="1"/>
      </rPr>
      <t>q</t>
    </r>
  </si>
  <si>
    <t>燃料灰熔融性分析</t>
  </si>
  <si>
    <t>变形温度</t>
  </si>
  <si>
    <t>DT</t>
  </si>
  <si>
    <t>软化温度</t>
  </si>
  <si>
    <t>ST</t>
  </si>
  <si>
    <t>半球温度</t>
  </si>
  <si>
    <t>HT</t>
  </si>
  <si>
    <t>流动温度</t>
  </si>
  <si>
    <t>FT</t>
  </si>
  <si>
    <t>堆积密度</t>
  </si>
  <si>
    <t>燃料堆积密度</t>
  </si>
  <si>
    <r>
      <t>ρ</t>
    </r>
    <r>
      <rPr>
        <vertAlign val="subscript"/>
        <sz val="12"/>
        <color theme="1"/>
        <rFont val="Times New Roman"/>
        <family val="1"/>
      </rPr>
      <t>rl</t>
    </r>
  </si>
  <si>
    <r>
      <t>t/m</t>
    </r>
    <r>
      <rPr>
        <vertAlign val="superscript"/>
        <sz val="12"/>
        <color theme="1"/>
        <rFont val="Times New Roman"/>
        <family val="1"/>
      </rPr>
      <t>3</t>
    </r>
  </si>
  <si>
    <t>飞灰堆积密度</t>
  </si>
  <si>
    <r>
      <t>ρ</t>
    </r>
    <r>
      <rPr>
        <vertAlign val="subscript"/>
        <sz val="12"/>
        <color theme="1"/>
        <rFont val="Times New Roman"/>
        <family val="1"/>
      </rPr>
      <t>fh</t>
    </r>
  </si>
  <si>
    <t>二</t>
  </si>
  <si>
    <t>当地气象及地址条件</t>
  </si>
  <si>
    <t>当地平均海拔</t>
  </si>
  <si>
    <t>历年平均气压</t>
  </si>
  <si>
    <t>历年平均气温</t>
  </si>
  <si>
    <t>T</t>
  </si>
  <si>
    <t>历年极端最高气温</t>
  </si>
  <si>
    <r>
      <t>T</t>
    </r>
    <r>
      <rPr>
        <vertAlign val="subscript"/>
        <sz val="12"/>
        <color theme="1"/>
        <rFont val="Times New Roman"/>
        <family val="1"/>
      </rPr>
      <t>max</t>
    </r>
  </si>
  <si>
    <t>历年极端最低气温</t>
  </si>
  <si>
    <r>
      <t>T</t>
    </r>
    <r>
      <rPr>
        <vertAlign val="subscript"/>
        <sz val="12"/>
        <color theme="1"/>
        <rFont val="Times New Roman"/>
        <family val="1"/>
      </rPr>
      <t>min</t>
    </r>
  </si>
  <si>
    <t>历年平均相对湿度</t>
  </si>
  <si>
    <t>三</t>
  </si>
  <si>
    <t>热负荷需求情况</t>
  </si>
  <si>
    <t>工业热负荷</t>
  </si>
  <si>
    <t>蒸汽压力等级</t>
  </si>
  <si>
    <t>MPa</t>
  </si>
  <si>
    <t>蒸汽温度等级</t>
  </si>
  <si>
    <t>用汽时段</t>
  </si>
  <si>
    <t>近期蒸汽流量范围</t>
  </si>
  <si>
    <r>
      <t>Q</t>
    </r>
    <r>
      <rPr>
        <vertAlign val="subscript"/>
        <sz val="12"/>
        <color theme="1"/>
        <rFont val="Times New Roman"/>
        <family val="1"/>
      </rPr>
      <t>jq</t>
    </r>
  </si>
  <si>
    <t>t/h</t>
  </si>
  <si>
    <t>远期蒸汽流量范围</t>
  </si>
  <si>
    <r>
      <t>Q</t>
    </r>
    <r>
      <rPr>
        <vertAlign val="subscript"/>
        <sz val="12"/>
        <color theme="1"/>
        <rFont val="Times New Roman"/>
        <family val="1"/>
      </rPr>
      <t>yq</t>
    </r>
  </si>
  <si>
    <t>凝结水含铁量</t>
  </si>
  <si>
    <r>
      <t>C</t>
    </r>
    <r>
      <rPr>
        <vertAlign val="subscript"/>
        <sz val="12"/>
        <color theme="1"/>
        <rFont val="Times New Roman"/>
        <family val="1"/>
      </rPr>
      <t>Fe</t>
    </r>
  </si>
  <si>
    <r>
      <t>mg/m</t>
    </r>
    <r>
      <rPr>
        <vertAlign val="superscript"/>
        <sz val="12"/>
        <color theme="1"/>
        <rFont val="Times New Roman"/>
        <family val="1"/>
      </rPr>
      <t>3</t>
    </r>
  </si>
  <si>
    <t>凝结水回收率</t>
  </si>
  <si>
    <t>Φ</t>
  </si>
  <si>
    <t>采暖热负荷</t>
  </si>
  <si>
    <t>采暖场合类型</t>
  </si>
  <si>
    <t>全年采暖天数</t>
  </si>
  <si>
    <t>d/a</t>
  </si>
  <si>
    <t>近期采暖面积</t>
  </si>
  <si>
    <r>
      <t>万</t>
    </r>
    <r>
      <rPr>
        <sz val="12"/>
        <color theme="1"/>
        <rFont val="Times New Roman"/>
        <family val="1"/>
      </rPr>
      <t>m</t>
    </r>
    <r>
      <rPr>
        <vertAlign val="superscript"/>
        <sz val="12"/>
        <color theme="1"/>
        <rFont val="Times New Roman"/>
        <family val="1"/>
      </rPr>
      <t>3</t>
    </r>
  </si>
  <si>
    <t>远期采暖面积</t>
  </si>
  <si>
    <t>四</t>
  </si>
  <si>
    <t>其它情况</t>
  </si>
  <si>
    <t>项目选址情况</t>
  </si>
  <si>
    <t>规划占地面积</t>
  </si>
  <si>
    <t>亩</t>
  </si>
  <si>
    <t>规划扩建容量</t>
  </si>
  <si>
    <t>MW</t>
  </si>
  <si>
    <t>是否考虑扩建</t>
  </si>
  <si>
    <t>当地水源条件</t>
  </si>
  <si>
    <t>电力系统接入条件</t>
  </si>
  <si>
    <t>上级变电压等级</t>
  </si>
  <si>
    <t>kV</t>
  </si>
  <si>
    <t>厂区距上级变距离</t>
  </si>
  <si>
    <t>km</t>
  </si>
  <si>
    <t>当地环保要求</t>
  </si>
  <si>
    <r>
      <t>烟气</t>
    </r>
    <r>
      <rPr>
        <sz val="12"/>
        <color theme="1"/>
        <rFont val="Times New Roman"/>
        <family val="1"/>
      </rPr>
      <t>SO</t>
    </r>
    <r>
      <rPr>
        <vertAlign val="subscript"/>
        <sz val="12"/>
        <color theme="1"/>
        <rFont val="Times New Roman"/>
        <family val="1"/>
      </rPr>
      <t>X</t>
    </r>
    <r>
      <rPr>
        <sz val="12"/>
        <color theme="1"/>
        <rFont val="宋体"/>
        <family val="3"/>
        <charset val="134"/>
      </rPr>
      <t>排放限值</t>
    </r>
  </si>
  <si>
    <r>
      <t>mg/Nm</t>
    </r>
    <r>
      <rPr>
        <vertAlign val="superscript"/>
        <sz val="12"/>
        <color theme="1"/>
        <rFont val="Times New Roman"/>
        <family val="1"/>
      </rPr>
      <t>3</t>
    </r>
  </si>
  <si>
    <r>
      <t>烟气</t>
    </r>
    <r>
      <rPr>
        <sz val="12"/>
        <color theme="1"/>
        <rFont val="Times New Roman"/>
        <family val="1"/>
      </rPr>
      <t>NO</t>
    </r>
    <r>
      <rPr>
        <vertAlign val="subscript"/>
        <sz val="12"/>
        <color theme="1"/>
        <rFont val="Times New Roman"/>
        <family val="1"/>
      </rPr>
      <t>X</t>
    </r>
    <r>
      <rPr>
        <sz val="12"/>
        <color theme="1"/>
        <rFont val="宋体"/>
        <family val="3"/>
        <charset val="134"/>
      </rPr>
      <t>排放限值</t>
    </r>
  </si>
  <si>
    <t>烟气烟尘排放限值</t>
  </si>
  <si>
    <t>〔1〕</t>
    <phoneticPr fontId="1" type="noConversion"/>
  </si>
  <si>
    <t>〔5〕</t>
    <phoneticPr fontId="1" type="noConversion"/>
  </si>
  <si>
    <t>〔7〕</t>
    <phoneticPr fontId="1" type="noConversion"/>
  </si>
  <si>
    <t>〔10〕</t>
    <phoneticPr fontId="1" type="noConversion"/>
  </si>
  <si>
    <t>〔4〕</t>
    <phoneticPr fontId="1" type="noConversion"/>
  </si>
  <si>
    <t>〔1〕</t>
    <phoneticPr fontId="1" type="noConversion"/>
  </si>
  <si>
    <t>校核燃料</t>
    <phoneticPr fontId="1" type="noConversion"/>
  </si>
  <si>
    <t>考虑回水是否受主工艺污染</t>
    <phoneticPr fontId="1" type="noConversion"/>
  </si>
  <si>
    <t>输入值</t>
    <phoneticPr fontId="1" type="noConversion"/>
  </si>
  <si>
    <t>见需求调研表</t>
    <phoneticPr fontId="1" type="noConversion"/>
  </si>
  <si>
    <t>定值</t>
    <phoneticPr fontId="1" type="noConversion"/>
  </si>
  <si>
    <t>（9）</t>
    <phoneticPr fontId="1" type="noConversion"/>
  </si>
  <si>
    <t>（10）</t>
    <phoneticPr fontId="1" type="noConversion"/>
  </si>
  <si>
    <t>（11）</t>
    <phoneticPr fontId="1" type="noConversion"/>
  </si>
  <si>
    <t>（13）</t>
    <phoneticPr fontId="1" type="noConversion"/>
  </si>
  <si>
    <t>收到基挥发分</t>
    <phoneticPr fontId="1" type="noConversion"/>
  </si>
  <si>
    <r>
      <t>V</t>
    </r>
    <r>
      <rPr>
        <vertAlign val="subscript"/>
        <sz val="12"/>
        <color theme="1"/>
        <rFont val="Times New Roman"/>
        <family val="1"/>
      </rPr>
      <t>ar</t>
    </r>
    <phoneticPr fontId="1" type="noConversion"/>
  </si>
  <si>
    <t>Var</t>
    <phoneticPr fontId="1" type="noConversion"/>
  </si>
  <si>
    <t>输入值</t>
    <phoneticPr fontId="1" type="noConversion"/>
  </si>
  <si>
    <t>见需求调研表</t>
    <phoneticPr fontId="1" type="noConversion"/>
  </si>
  <si>
    <t>见需求调研表</t>
    <phoneticPr fontId="1" type="noConversion"/>
  </si>
  <si>
    <t>见需求调研表；一般＜10</t>
    <phoneticPr fontId="1" type="noConversion"/>
  </si>
  <si>
    <t>见需求调研表；设计燃料入炉条件≤30；校核燃料入炉条件≤40</t>
    <phoneticPr fontId="1" type="noConversion"/>
  </si>
  <si>
    <t>/</t>
    <phoneticPr fontId="1" type="noConversion"/>
  </si>
  <si>
    <t>一般＞60</t>
    <phoneticPr fontId="1" type="noConversion"/>
  </si>
  <si>
    <t>收到基水分</t>
    <phoneticPr fontId="1" type="noConversion"/>
  </si>
  <si>
    <t>kJ/kg</t>
    <phoneticPr fontId="1" type="noConversion"/>
  </si>
  <si>
    <t>设定值（给出推荐值，操作者手动输入）</t>
    <phoneticPr fontId="1" type="noConversion"/>
  </si>
  <si>
    <t>默认设定值</t>
    <phoneticPr fontId="1" type="noConversion"/>
  </si>
  <si>
    <t>默认设定值（与锅炉参数选择关联）</t>
    <phoneticPr fontId="1" type="noConversion"/>
  </si>
  <si>
    <t>查水蒸气焓熵表</t>
    <phoneticPr fontId="1" type="noConversion"/>
  </si>
  <si>
    <t>输出计算结果</t>
    <phoneticPr fontId="1" type="noConversion"/>
  </si>
  <si>
    <t>输出计算结果</t>
    <phoneticPr fontId="1" type="noConversion"/>
  </si>
  <si>
    <t>默认设定值（与锅炉炉型选择关联）</t>
    <phoneticPr fontId="1" type="noConversion"/>
  </si>
  <si>
    <t>脱硫系统计算结果</t>
    <phoneticPr fontId="1" type="noConversion"/>
  </si>
  <si>
    <r>
      <t>0.0889（Car+</t>
    </r>
    <r>
      <rPr>
        <sz val="11"/>
        <color rgb="FFFF0000"/>
        <rFont val="宋体"/>
        <family val="3"/>
        <charset val="134"/>
        <scheme val="minor"/>
      </rPr>
      <t>0.375St,ar</t>
    </r>
    <r>
      <rPr>
        <sz val="11"/>
        <color theme="1"/>
        <rFont val="宋体"/>
        <family val="2"/>
        <scheme val="minor"/>
      </rPr>
      <t>)+0.265Har-0.0333Oar</t>
    </r>
    <phoneticPr fontId="1" type="noConversion"/>
  </si>
  <si>
    <t>计算值</t>
    <phoneticPr fontId="1" type="noConversion"/>
  </si>
  <si>
    <t>查水蒸气热力性质表</t>
    <phoneticPr fontId="1" type="noConversion"/>
  </si>
  <si>
    <t>计算值（或默认设定值）</t>
    <phoneticPr fontId="1" type="noConversion"/>
  </si>
  <si>
    <t>型式给定</t>
    <phoneticPr fontId="1" type="noConversion"/>
  </si>
  <si>
    <t>输入值（调用计算值）</t>
    <phoneticPr fontId="1" type="noConversion"/>
  </si>
  <si>
    <t>输入值（调用计算结果）</t>
    <phoneticPr fontId="1" type="noConversion"/>
  </si>
  <si>
    <t>输入值（调用设定值）</t>
    <phoneticPr fontId="1" type="noConversion"/>
  </si>
  <si>
    <t>输入值（调用默认设定值）</t>
    <phoneticPr fontId="1" type="noConversion"/>
  </si>
  <si>
    <t>输入值（调用输入值）</t>
    <phoneticPr fontId="1" type="noConversion"/>
  </si>
  <si>
    <t>校核计算结果</t>
    <phoneticPr fontId="1" type="noConversion"/>
  </si>
  <si>
    <t>空预器至除尘器烟道漏风系数</t>
    <phoneticPr fontId="1" type="noConversion"/>
  </si>
  <si>
    <t>V'gy</t>
    <phoneticPr fontId="1" type="noConversion"/>
  </si>
  <si>
    <t>V'gy*Bj</t>
    <phoneticPr fontId="1" type="noConversion"/>
  </si>
  <si>
    <t>引风机进口处湿烟气质量流量</t>
    <phoneticPr fontId="1" type="noConversion"/>
  </si>
  <si>
    <t xml:space="preserve">    1Kg燃料产生的引风机进口干烟气容积</t>
    <phoneticPr fontId="1" type="noConversion"/>
  </si>
  <si>
    <t>引风机进口干烟气容积流量</t>
    <phoneticPr fontId="1" type="noConversion"/>
  </si>
  <si>
    <t>检测项目</t>
    <phoneticPr fontId="1" type="noConversion"/>
  </si>
  <si>
    <t>收到基低位发热量</t>
    <phoneticPr fontId="1" type="noConversion"/>
  </si>
  <si>
    <t>表示符号</t>
    <phoneticPr fontId="1" type="noConversion"/>
  </si>
  <si>
    <t>计量单位</t>
    <phoneticPr fontId="1" type="noConversion"/>
  </si>
  <si>
    <t>公示及计算</t>
    <phoneticPr fontId="1" type="noConversion"/>
  </si>
  <si>
    <t>设计燃料</t>
    <phoneticPr fontId="1" type="noConversion"/>
  </si>
  <si>
    <t>校核燃料</t>
    <phoneticPr fontId="1" type="noConversion"/>
  </si>
  <si>
    <t>Qnet.Ar</t>
    <phoneticPr fontId="1" type="noConversion"/>
  </si>
  <si>
    <t>Kj/kg</t>
    <phoneticPr fontId="1" type="noConversion"/>
  </si>
  <si>
    <t>过热蒸汽出口压力Pgr/MPa（g）</t>
    <phoneticPr fontId="1" type="noConversion"/>
  </si>
  <si>
    <t>过热蒸汽温度Tgr/℃</t>
    <phoneticPr fontId="1" type="noConversion"/>
  </si>
  <si>
    <t>锅炉</t>
    <phoneticPr fontId="1" type="noConversion"/>
  </si>
  <si>
    <t>生物质锅炉炉型主要有四种，即常规循环流化床锅炉（CFB）、高低差速循环流化床锅炉（ICFB）、联合炉排炉、水冷振动炉排炉。因此，首先需要设置炉型选项供操作者进行手动输入。</t>
    <phoneticPr fontId="1" type="noConversion"/>
  </si>
  <si>
    <t>项目</t>
    <phoneticPr fontId="1" type="noConversion"/>
  </si>
  <si>
    <t>项目</t>
    <phoneticPr fontId="1" type="noConversion"/>
  </si>
  <si>
    <t>高温高压</t>
    <phoneticPr fontId="1" type="noConversion"/>
  </si>
  <si>
    <t>高温高压</t>
    <phoneticPr fontId="1" type="noConversion"/>
  </si>
  <si>
    <t>次高温次高压</t>
    <phoneticPr fontId="1" type="noConversion"/>
  </si>
  <si>
    <t>中温中压</t>
    <phoneticPr fontId="1" type="noConversion"/>
  </si>
  <si>
    <t>次高温次高压</t>
    <phoneticPr fontId="1" type="noConversion"/>
  </si>
  <si>
    <t>中温中压</t>
    <phoneticPr fontId="1" type="noConversion"/>
  </si>
  <si>
    <t>原始值</t>
    <phoneticPr fontId="1" type="noConversion"/>
  </si>
  <si>
    <t>其它推荐值</t>
    <phoneticPr fontId="1" type="noConversion"/>
  </si>
  <si>
    <t>给水温度Tgs/℃</t>
    <phoneticPr fontId="1" type="noConversion"/>
  </si>
  <si>
    <t>210、220</t>
    <phoneticPr fontId="1" type="noConversion"/>
  </si>
  <si>
    <t>158、104</t>
    <phoneticPr fontId="1" type="noConversion"/>
  </si>
  <si>
    <t>150、104</t>
    <phoneticPr fontId="1" type="noConversion"/>
  </si>
  <si>
    <t>锅炉选型输入→过热蒸汽额定流量输入→过热蒸汽出口压力及温度输入→锅炉效率输入→机械未燃烧损失→飞灰及底渣份额输入</t>
    <phoneticPr fontId="1" type="noConversion"/>
  </si>
  <si>
    <t>Qnet.Ar-（30-Aar）*193.4；           Qnet.Ar-（40-Aar）*193.4</t>
    <phoneticPr fontId="1" type="noConversion"/>
  </si>
  <si>
    <t>炉型</t>
    <phoneticPr fontId="1" type="noConversion"/>
  </si>
  <si>
    <t>锅炉效率ηg/%</t>
    <phoneticPr fontId="1" type="noConversion"/>
  </si>
  <si>
    <t>常规循环流化床锅炉（CFB）</t>
    <phoneticPr fontId="1" type="noConversion"/>
  </si>
  <si>
    <t>高低差速循环流化床锅炉（ICFB）</t>
    <phoneticPr fontId="1" type="noConversion"/>
  </si>
  <si>
    <t>联合炉排炉</t>
    <phoneticPr fontId="1" type="noConversion"/>
  </si>
  <si>
    <t>水冷振动炉排炉</t>
    <phoneticPr fontId="1" type="noConversion"/>
  </si>
  <si>
    <t>机械未燃烧损失q4/%</t>
    <phoneticPr fontId="1" type="noConversion"/>
  </si>
  <si>
    <t xml:space="preserve"> 锅炉厂资料</t>
    <phoneticPr fontId="1" type="noConversion"/>
  </si>
  <si>
    <t>锅炉厂资料；一般为0.5~2%</t>
    <phoneticPr fontId="1" type="noConversion"/>
  </si>
  <si>
    <t>生物质热电项目脱硫系统一般采用炉内喷钙工艺</t>
    <phoneticPr fontId="1" type="noConversion"/>
  </si>
  <si>
    <r>
      <t xml:space="preserve">Bg(Aar/100+Qnet,ar*q4/3387000)  </t>
    </r>
    <r>
      <rPr>
        <sz val="11"/>
        <color theme="1"/>
        <rFont val="宋体"/>
        <family val="3"/>
        <charset val="134"/>
        <scheme val="minor"/>
      </rPr>
      <t xml:space="preserve"> P209</t>
    </r>
    <phoneticPr fontId="1" type="noConversion"/>
  </si>
  <si>
    <r>
      <t>d=622*Pv/(Pb-Pv)，</t>
    </r>
    <r>
      <rPr>
        <sz val="12"/>
        <color rgb="FFFF0000"/>
        <rFont val="宋体"/>
        <family val="3"/>
        <charset val="134"/>
      </rPr>
      <t>如无气象资料，可取d=10（经验值）</t>
    </r>
    <phoneticPr fontId="1" type="noConversion"/>
  </si>
  <si>
    <t>k1</t>
    <phoneticPr fontId="1" type="noConversion"/>
  </si>
  <si>
    <t>飞灰份额k1</t>
    <phoneticPr fontId="1" type="noConversion"/>
  </si>
  <si>
    <t>k2</t>
    <phoneticPr fontId="1" type="noConversion"/>
  </si>
  <si>
    <t>底渣份额k2</t>
    <phoneticPr fontId="1" type="noConversion"/>
  </si>
  <si>
    <t>输入值</t>
    <phoneticPr fontId="14" type="noConversion"/>
  </si>
  <si>
    <t>输入值（调用锅炉计算结果）</t>
    <phoneticPr fontId="14" type="noConversion"/>
  </si>
  <si>
    <t>设定值（给出推荐值，操作者手动输入）</t>
    <phoneticPr fontId="1" type="noConversion"/>
  </si>
  <si>
    <t>输出计算结果</t>
    <phoneticPr fontId="14" type="noConversion"/>
  </si>
  <si>
    <t>取1.2</t>
    <phoneticPr fontId="14" type="noConversion"/>
  </si>
  <si>
    <t>日进厂车辆</t>
    <phoneticPr fontId="14" type="noConversion"/>
  </si>
  <si>
    <t>不均衡系数</t>
    <phoneticPr fontId="14" type="noConversion"/>
  </si>
  <si>
    <t>日进厂燃料量</t>
    <phoneticPr fontId="14" type="noConversion"/>
  </si>
  <si>
    <t>运输车辆利用社会运力，取10</t>
    <phoneticPr fontId="14" type="noConversion"/>
  </si>
  <si>
    <t>6000~8000</t>
    <phoneticPr fontId="1" type="noConversion"/>
  </si>
  <si>
    <t>22h或24h</t>
    <phoneticPr fontId="14" type="noConversion"/>
  </si>
  <si>
    <t>2、原料堆场面积</t>
    <phoneticPr fontId="14" type="noConversion"/>
  </si>
  <si>
    <t>锅炉年利用时间原始设定值Ha/h</t>
    <phoneticPr fontId="14" type="noConversion"/>
  </si>
  <si>
    <r>
      <t>考虑到消防及汽车通道，</t>
    </r>
    <r>
      <rPr>
        <sz val="11"/>
        <color theme="1"/>
        <rFont val="宋体"/>
        <family val="3"/>
        <charset val="134"/>
        <scheme val="minor"/>
      </rPr>
      <t>取0.65</t>
    </r>
    <phoneticPr fontId="14" type="noConversion"/>
  </si>
  <si>
    <t>推荐值为7~8，原始设定值取8</t>
    <phoneticPr fontId="14" type="noConversion"/>
  </si>
  <si>
    <t>推荐值为4~6，原始设定值取5</t>
    <phoneticPr fontId="14" type="noConversion"/>
  </si>
  <si>
    <r>
      <t>推荐值取0.04~0.1，在无资料情况下，</t>
    </r>
    <r>
      <rPr>
        <sz val="11"/>
        <color theme="1"/>
        <rFont val="宋体"/>
        <family val="3"/>
        <charset val="134"/>
        <scheme val="minor"/>
      </rPr>
      <t>原始设定值取0.04</t>
    </r>
    <phoneticPr fontId="14" type="noConversion"/>
  </si>
  <si>
    <t>推荐值为4~8，原始设定值取7</t>
    <phoneticPr fontId="14" type="noConversion"/>
  </si>
  <si>
    <t>取0.95</t>
    <phoneticPr fontId="14" type="noConversion"/>
  </si>
  <si>
    <t>推荐值为5~7，原始设定值取6</t>
    <phoneticPr fontId="14" type="noConversion"/>
  </si>
  <si>
    <t>推荐值取0.04~0.1，在无资料情况下，原始设定值取0.04</t>
    <phoneticPr fontId="14" type="noConversion"/>
  </si>
  <si>
    <t>取0.06</t>
    <phoneticPr fontId="14" type="noConversion"/>
  </si>
  <si>
    <t>设定值（操作者根据计算结果选定）</t>
    <phoneticPr fontId="1" type="noConversion"/>
  </si>
  <si>
    <r>
      <t>每个尾部料仓受料斗下设置2组双螺旋给料机；</t>
    </r>
    <r>
      <rPr>
        <sz val="11"/>
        <color theme="1"/>
        <rFont val="宋体"/>
        <family val="3"/>
        <charset val="134"/>
        <scheme val="minor"/>
      </rPr>
      <t>取4</t>
    </r>
    <phoneticPr fontId="14" type="noConversion"/>
  </si>
  <si>
    <t>锅炉额定容量＞65t/h，皮带输送机采用双路布置，一用一备，每路出力≥150%锅炉满负荷燃料耗量</t>
    <phoneticPr fontId="14" type="noConversion"/>
  </si>
  <si>
    <t>Bj*Hd</t>
    <phoneticPr fontId="14" type="noConversion"/>
  </si>
  <si>
    <t>输入值（调用计算结果）</t>
    <phoneticPr fontId="14" type="noConversion"/>
  </si>
  <si>
    <t>推荐值为800、1000、1200、1400</t>
    <phoneticPr fontId="14" type="noConversion"/>
  </si>
  <si>
    <t>推荐值为1.0、1.25、1.6，原始设定值取1.25</t>
    <phoneticPr fontId="14" type="noConversion"/>
  </si>
  <si>
    <t>K*B*B*v*p/1000/1000</t>
    <phoneticPr fontId="14" type="noConversion"/>
  </si>
  <si>
    <t>取0.5</t>
    <phoneticPr fontId="14" type="noConversion"/>
  </si>
  <si>
    <r>
      <t>推荐值为</t>
    </r>
    <r>
      <rPr>
        <sz val="11"/>
        <color theme="1"/>
        <rFont val="宋体"/>
        <family val="3"/>
        <charset val="134"/>
        <scheme val="minor"/>
      </rPr>
      <t>≥90，原始设定值取95</t>
    </r>
    <phoneticPr fontId="1" type="noConversion"/>
  </si>
  <si>
    <t>推荐值为≥2，原始设定值取2</t>
    <phoneticPr fontId="1" type="noConversion"/>
  </si>
  <si>
    <t>推荐值为≥90，原始设定值取90</t>
    <phoneticPr fontId="1" type="noConversion"/>
  </si>
  <si>
    <t>原始设定值取3d</t>
    <phoneticPr fontId="1" type="noConversion"/>
  </si>
  <si>
    <t>推荐值为0.7~0.8，原始设定值取0.8</t>
    <phoneticPr fontId="1" type="noConversion"/>
  </si>
  <si>
    <t>取0.7</t>
    <phoneticPr fontId="1" type="noConversion"/>
  </si>
  <si>
    <t>设定值（操作者手动输入）</t>
    <phoneticPr fontId="1" type="noConversion"/>
  </si>
  <si>
    <t>推荐值为150～250之间，原始设定值取200</t>
    <phoneticPr fontId="1" type="noConversion"/>
  </si>
  <si>
    <t>推荐值为≥90，原始设定值取95</t>
    <phoneticPr fontId="1" type="noConversion"/>
  </si>
  <si>
    <t>尿素溶液浓度取25%</t>
    <phoneticPr fontId="1" type="noConversion"/>
  </si>
  <si>
    <t>取5</t>
    <phoneticPr fontId="1" type="noConversion"/>
  </si>
  <si>
    <r>
      <t>给定，</t>
    </r>
    <r>
      <rPr>
        <sz val="11"/>
        <color theme="1"/>
        <rFont val="宋体"/>
        <family val="3"/>
        <charset val="134"/>
        <scheme val="minor"/>
      </rPr>
      <t>取60</t>
    </r>
    <phoneticPr fontId="1" type="noConversion"/>
  </si>
  <si>
    <t>输入值（调用锅炉计算默认设定值）</t>
    <phoneticPr fontId="14" type="noConversion"/>
  </si>
  <si>
    <t>（13）</t>
    <phoneticPr fontId="1" type="noConversion"/>
  </si>
  <si>
    <t>旋风除尘器＋布袋除尘器</t>
    <phoneticPr fontId="1" type="noConversion"/>
  </si>
  <si>
    <t>取0.7</t>
    <phoneticPr fontId="1" type="noConversion"/>
  </si>
  <si>
    <t>推荐值为1~2,,原始设定值取2</t>
    <phoneticPr fontId="1" type="noConversion"/>
  </si>
  <si>
    <t>推荐值为7~20，原始设定值取15</t>
    <phoneticPr fontId="1" type="noConversion"/>
  </si>
  <si>
    <t>Af</t>
    <phoneticPr fontId="1" type="noConversion"/>
  </si>
  <si>
    <t>250%*Af</t>
    <phoneticPr fontId="1" type="noConversion"/>
  </si>
  <si>
    <t>375%*Gz</t>
    <phoneticPr fontId="1" type="noConversion"/>
  </si>
  <si>
    <t>链斗输送机出力</t>
    <phoneticPr fontId="1" type="noConversion"/>
  </si>
  <si>
    <t>Gzm</t>
    <phoneticPr fontId="1" type="noConversion"/>
  </si>
  <si>
    <t>1.67*Gzm</t>
    <phoneticPr fontId="1" type="noConversion"/>
  </si>
  <si>
    <r>
      <t>事故/运行；</t>
    </r>
    <r>
      <rPr>
        <sz val="11"/>
        <color theme="1"/>
        <rFont val="宋体"/>
        <family val="2"/>
        <scheme val="minor"/>
      </rPr>
      <t>单台锅炉配置2台</t>
    </r>
    <phoneticPr fontId="1" type="noConversion"/>
  </si>
  <si>
    <t>原始设定值取0.45</t>
    <phoneticPr fontId="1" type="noConversion"/>
  </si>
  <si>
    <t>推荐值为1~2,原始设定值取7</t>
    <phoneticPr fontId="1" type="noConversion"/>
  </si>
  <si>
    <r>
      <t>除灰系统计算--</t>
    </r>
    <r>
      <rPr>
        <sz val="12"/>
        <color rgb="FFFF0000"/>
        <rFont val="宋体"/>
        <family val="3"/>
        <charset val="134"/>
      </rPr>
      <t>正压浓相气力输送</t>
    </r>
    <phoneticPr fontId="14" type="noConversion"/>
  </si>
  <si>
    <r>
      <t>除渣系统计算--</t>
    </r>
    <r>
      <rPr>
        <sz val="12"/>
        <color rgb="FFFF0000"/>
        <rFont val="宋体"/>
        <family val="3"/>
        <charset val="134"/>
      </rPr>
      <t>干式机械除渣（适用于CFB锅炉）</t>
    </r>
    <phoneticPr fontId="14" type="noConversion"/>
  </si>
  <si>
    <t>推荐值取0.2~0.4，在无资料情况下，原始设定值取0.2</t>
    <phoneticPr fontId="1" type="noConversion"/>
  </si>
  <si>
    <t>校核计算</t>
    <phoneticPr fontId="1" type="noConversion"/>
  </si>
  <si>
    <t>计算值</t>
    <phoneticPr fontId="1" type="noConversion"/>
  </si>
  <si>
    <t>是否海拔修正,原始设定值为7500</t>
    <phoneticPr fontId="14" type="noConversion"/>
  </si>
  <si>
    <t>大气压未修正,原始设定值为1500</t>
    <phoneticPr fontId="14" type="noConversion"/>
  </si>
  <si>
    <t>原始设定值取0.75</t>
    <phoneticPr fontId="14" type="noConversion"/>
  </si>
  <si>
    <t>原始设定值取0.95</t>
    <phoneticPr fontId="14" type="noConversion"/>
  </si>
  <si>
    <t>是否海拔修正,原始设定值为5500</t>
    <phoneticPr fontId="14" type="noConversion"/>
  </si>
  <si>
    <t>输入值（调用计算结果）</t>
    <phoneticPr fontId="14" type="noConversion"/>
  </si>
  <si>
    <t>原始设定值取0.85</t>
    <phoneticPr fontId="14" type="noConversion"/>
  </si>
  <si>
    <t>输入值（调用默认设定值）</t>
    <phoneticPr fontId="14" type="noConversion"/>
  </si>
  <si>
    <t>是否海拔修正,原始设定值为2480</t>
    <phoneticPr fontId="14" type="noConversion"/>
  </si>
  <si>
    <t>大气压未修正,原始设定值为600</t>
    <phoneticPr fontId="14" type="noConversion"/>
  </si>
  <si>
    <t>大气压未修正,原始设定值为1200</t>
    <phoneticPr fontId="14" type="noConversion"/>
  </si>
  <si>
    <t>大气压未修正,原始设定值为500</t>
    <phoneticPr fontId="14" type="noConversion"/>
  </si>
  <si>
    <t>大气压未修正,原始设定值为3000</t>
    <phoneticPr fontId="14" type="noConversion"/>
  </si>
  <si>
    <t>锅炉厂资料，原始设定值取25000</t>
    <phoneticPr fontId="14" type="noConversion"/>
  </si>
  <si>
    <t>原始设定值取500</t>
    <phoneticPr fontId="14" type="noConversion"/>
  </si>
  <si>
    <t>原始设定值取950</t>
    <phoneticPr fontId="14" type="noConversion"/>
  </si>
  <si>
    <t>扩容器压力下饱和水焓</t>
    <phoneticPr fontId="14" type="noConversion"/>
  </si>
  <si>
    <t>推荐值为800~1000，原始设定值取2000</t>
    <phoneticPr fontId="14" type="noConversion"/>
  </si>
  <si>
    <t>1.3~1.5的富裕系数</t>
    <phoneticPr fontId="14" type="noConversion"/>
  </si>
  <si>
    <t>扩容器压力推荐选0.15MPa(a)/0.45，原始设定值取0.15</t>
    <phoneticPr fontId="14" type="noConversion"/>
  </si>
  <si>
    <t>推荐值为0.1%-0.5%，原始设定值取0.1%</t>
    <phoneticPr fontId="14" type="noConversion"/>
  </si>
  <si>
    <t>一班一次，2-3次，一次0.5-1min；推荐值为0.5-1min，原始设定值取1min</t>
    <phoneticPr fontId="14" type="noConversion"/>
  </si>
  <si>
    <t>推荐值为1%-2%，原始设定值取2%</t>
    <phoneticPr fontId="14" type="noConversion"/>
  </si>
  <si>
    <t>扩容器压力推荐选取0.15MPa(a)/0.45/1.0，原始设定值取1.0</t>
    <phoneticPr fontId="14" type="noConversion"/>
  </si>
  <si>
    <t>推荐值为0.97~0.98，原始设定值取0.97</t>
    <phoneticPr fontId="14" type="noConversion"/>
  </si>
  <si>
    <t>推荐值为800~1000，原始设定值取800</t>
    <phoneticPr fontId="14" type="noConversion"/>
  </si>
  <si>
    <t>选定值</t>
    <phoneticPr fontId="1" type="noConversion"/>
  </si>
  <si>
    <t>选定值</t>
    <phoneticPr fontId="1" type="noConversion"/>
  </si>
  <si>
    <t>过热蒸汽额定流量</t>
    <phoneticPr fontId="1" type="noConversion"/>
  </si>
  <si>
    <t>Dgr*3%</t>
    <phoneticPr fontId="1" type="noConversion"/>
  </si>
  <si>
    <t>Dgr</t>
    <phoneticPr fontId="1" type="noConversion"/>
  </si>
  <si>
    <t>t/h</t>
    <phoneticPr fontId="1" type="noConversion"/>
  </si>
</sst>
</file>

<file path=xl/styles.xml><?xml version="1.0" encoding="utf-8"?>
<styleSheet xmlns="http://schemas.openxmlformats.org/spreadsheetml/2006/main">
  <numFmts count="12">
    <numFmt numFmtId="176" formatCode="0.00_ "/>
    <numFmt numFmtId="177" formatCode="0.000_ "/>
    <numFmt numFmtId="178" formatCode="0_ "/>
    <numFmt numFmtId="179" formatCode="0.0_ "/>
    <numFmt numFmtId="180" formatCode="0.000_);[Red]\(0.000\)"/>
    <numFmt numFmtId="181" formatCode="0.00_);[Red]\(0.00\)"/>
    <numFmt numFmtId="182" formatCode="0.0000_ "/>
    <numFmt numFmtId="183" formatCode="0_);[Red]\(0\)"/>
    <numFmt numFmtId="184" formatCode="0.0%"/>
    <numFmt numFmtId="185" formatCode="0.0000_);[Red]\(0.0000\)"/>
    <numFmt numFmtId="186" formatCode="0.0"/>
    <numFmt numFmtId="187" formatCode="0.0_);[Red]\(0.0\)"/>
  </numFmts>
  <fonts count="78">
    <font>
      <sz val="11"/>
      <color theme="1"/>
      <name val="宋体"/>
      <family val="2"/>
      <scheme val="minor"/>
    </font>
    <font>
      <sz val="9"/>
      <name val="宋体"/>
      <family val="3"/>
      <charset val="134"/>
      <scheme val="minor"/>
    </font>
    <font>
      <sz val="11"/>
      <color theme="1"/>
      <name val="宋体"/>
      <family val="3"/>
      <charset val="134"/>
      <scheme val="minor"/>
    </font>
    <font>
      <sz val="11"/>
      <color rgb="FFFF0000"/>
      <name val="宋体"/>
      <family val="2"/>
      <scheme val="minor"/>
    </font>
    <font>
      <b/>
      <sz val="11"/>
      <color rgb="FF0070C0"/>
      <name val="宋体"/>
      <family val="3"/>
      <charset val="134"/>
      <scheme val="minor"/>
    </font>
    <font>
      <sz val="12"/>
      <name val="宋体"/>
      <family val="3"/>
      <charset val="134"/>
    </font>
    <font>
      <sz val="12"/>
      <name val="Times New Roman"/>
      <family val="1"/>
    </font>
    <font>
      <vertAlign val="subscript"/>
      <sz val="12"/>
      <name val="Times New Roman"/>
      <family val="1"/>
    </font>
    <font>
      <sz val="12"/>
      <color indexed="8"/>
      <name val="宋体"/>
      <family val="3"/>
      <charset val="134"/>
    </font>
    <font>
      <vertAlign val="subscript"/>
      <sz val="12"/>
      <name val="宋体"/>
      <family val="3"/>
      <charset val="134"/>
    </font>
    <font>
      <vertAlign val="superscript"/>
      <sz val="12"/>
      <name val="宋体"/>
      <family val="3"/>
      <charset val="134"/>
    </font>
    <font>
      <sz val="12"/>
      <color indexed="10"/>
      <name val="宋体"/>
      <family val="3"/>
      <charset val="134"/>
    </font>
    <font>
      <b/>
      <sz val="11"/>
      <color theme="1"/>
      <name val="宋体"/>
      <family val="3"/>
      <charset val="134"/>
      <scheme val="minor"/>
    </font>
    <font>
      <sz val="12"/>
      <color indexed="12"/>
      <name val="宋体"/>
      <family val="3"/>
      <charset val="134"/>
    </font>
    <font>
      <sz val="9"/>
      <name val="宋体"/>
      <family val="3"/>
      <charset val="134"/>
    </font>
    <font>
      <sz val="11"/>
      <color theme="1"/>
      <name val="宋体"/>
      <family val="3"/>
      <charset val="134"/>
      <scheme val="minor"/>
    </font>
    <font>
      <sz val="12"/>
      <name val="宋体"/>
      <family val="3"/>
      <charset val="134"/>
    </font>
    <font>
      <vertAlign val="superscript"/>
      <sz val="12"/>
      <name val="Times New Roman"/>
      <family val="1"/>
    </font>
    <font>
      <sz val="12"/>
      <color indexed="8"/>
      <name val="宋体"/>
      <family val="3"/>
      <charset val="134"/>
    </font>
    <font>
      <sz val="12"/>
      <color indexed="10"/>
      <name val="宋体"/>
      <family val="3"/>
      <charset val="134"/>
    </font>
    <font>
      <sz val="12"/>
      <color indexed="8"/>
      <name val="Times New Roman"/>
      <family val="1"/>
    </font>
    <font>
      <vertAlign val="subscript"/>
      <sz val="12"/>
      <color indexed="8"/>
      <name val="Times New Roman"/>
      <family val="1"/>
    </font>
    <font>
      <b/>
      <sz val="12"/>
      <name val="宋体"/>
      <family val="3"/>
      <charset val="134"/>
    </font>
    <font>
      <b/>
      <sz val="12"/>
      <color indexed="8"/>
      <name val="宋体"/>
      <family val="3"/>
      <charset val="134"/>
    </font>
    <font>
      <vertAlign val="subscript"/>
      <sz val="12"/>
      <color indexed="8"/>
      <name val="宋体"/>
      <family val="3"/>
      <charset val="134"/>
    </font>
    <font>
      <vertAlign val="superscript"/>
      <sz val="12"/>
      <color indexed="8"/>
      <name val="宋体"/>
      <family val="3"/>
      <charset val="134"/>
    </font>
    <font>
      <b/>
      <sz val="12"/>
      <color indexed="10"/>
      <name val="宋体"/>
      <family val="3"/>
      <charset val="134"/>
    </font>
    <font>
      <sz val="9"/>
      <color indexed="8"/>
      <name val="宋体"/>
      <family val="3"/>
      <charset val="134"/>
    </font>
    <font>
      <vertAlign val="superscript"/>
      <sz val="9"/>
      <color indexed="8"/>
      <name val="宋体"/>
      <family val="3"/>
      <charset val="134"/>
    </font>
    <font>
      <b/>
      <vertAlign val="subscript"/>
      <sz val="12"/>
      <color indexed="8"/>
      <name val="宋体"/>
      <family val="3"/>
      <charset val="134"/>
    </font>
    <font>
      <vertAlign val="subscript"/>
      <sz val="9"/>
      <color indexed="8"/>
      <name val="宋体"/>
      <family val="3"/>
      <charset val="134"/>
    </font>
    <font>
      <vertAlign val="subscript"/>
      <sz val="9"/>
      <name val="宋体"/>
      <family val="3"/>
      <charset val="134"/>
    </font>
    <font>
      <b/>
      <sz val="9"/>
      <name val="宋体"/>
      <family val="3"/>
      <charset val="134"/>
    </font>
    <font>
      <b/>
      <sz val="9"/>
      <name val="Times New Roman"/>
      <family val="1"/>
    </font>
    <font>
      <b/>
      <vertAlign val="subscript"/>
      <sz val="9"/>
      <name val="Times New Roman"/>
      <family val="1"/>
    </font>
    <font>
      <vertAlign val="subscript"/>
      <sz val="9"/>
      <name val="Times New Roman"/>
      <family val="1"/>
    </font>
    <font>
      <sz val="9"/>
      <name val="Times New Roman"/>
      <family val="1"/>
    </font>
    <font>
      <vertAlign val="superscript"/>
      <sz val="9"/>
      <name val="宋体"/>
      <family val="3"/>
      <charset val="134"/>
    </font>
    <font>
      <sz val="12"/>
      <color rgb="FFFF0000"/>
      <name val="宋体"/>
      <family val="3"/>
      <charset val="134"/>
    </font>
    <font>
      <b/>
      <sz val="12"/>
      <color rgb="FFFF0000"/>
      <name val="宋体"/>
      <family val="3"/>
      <charset val="134"/>
      <scheme val="minor"/>
    </font>
    <font>
      <sz val="11"/>
      <color indexed="12"/>
      <name val="宋体"/>
      <family val="3"/>
      <charset val="134"/>
    </font>
    <font>
      <sz val="11"/>
      <name val="宋体"/>
      <family val="3"/>
      <charset val="134"/>
    </font>
    <font>
      <sz val="11"/>
      <color indexed="10"/>
      <name val="宋体"/>
      <family val="3"/>
      <charset val="134"/>
    </font>
    <font>
      <sz val="11"/>
      <name val="Times New Roman"/>
      <family val="1"/>
    </font>
    <font>
      <b/>
      <sz val="11"/>
      <color indexed="10"/>
      <name val="宋体"/>
      <family val="3"/>
      <charset val="134"/>
    </font>
    <font>
      <b/>
      <sz val="12"/>
      <color indexed="12"/>
      <name val="宋体"/>
      <family val="3"/>
      <charset val="134"/>
    </font>
    <font>
      <vertAlign val="subscript"/>
      <sz val="11"/>
      <name val="宋体"/>
      <family val="3"/>
      <charset val="134"/>
    </font>
    <font>
      <b/>
      <sz val="14"/>
      <color indexed="10"/>
      <name val="宋体"/>
      <family val="3"/>
      <charset val="134"/>
    </font>
    <font>
      <sz val="10"/>
      <name val="宋体"/>
      <family val="3"/>
      <charset val="134"/>
    </font>
    <font>
      <sz val="11"/>
      <color indexed="14"/>
      <name val="宋体"/>
      <family val="3"/>
      <charset val="134"/>
    </font>
    <font>
      <b/>
      <sz val="11"/>
      <name val="宋体"/>
      <family val="3"/>
      <charset val="134"/>
    </font>
    <font>
      <vertAlign val="superscript"/>
      <sz val="9"/>
      <name val="Times New Roman"/>
      <family val="1"/>
    </font>
    <font>
      <b/>
      <sz val="12"/>
      <color indexed="9"/>
      <name val="宋体"/>
      <family val="3"/>
      <charset val="134"/>
    </font>
    <font>
      <b/>
      <sz val="9"/>
      <color indexed="8"/>
      <name val="宋体"/>
      <family val="3"/>
      <charset val="134"/>
    </font>
    <font>
      <b/>
      <sz val="9"/>
      <color indexed="40"/>
      <name val="宋体"/>
      <family val="3"/>
      <charset val="134"/>
    </font>
    <font>
      <b/>
      <sz val="9"/>
      <color indexed="10"/>
      <name val="宋体"/>
      <family val="3"/>
      <charset val="134"/>
    </font>
    <font>
      <sz val="11"/>
      <color rgb="FFFF0000"/>
      <name val="宋体"/>
      <family val="3"/>
      <charset val="134"/>
      <scheme val="minor"/>
    </font>
    <font>
      <b/>
      <sz val="14"/>
      <color rgb="FFFF0000"/>
      <name val="宋体"/>
      <family val="3"/>
      <charset val="134"/>
      <scheme val="minor"/>
    </font>
    <font>
      <b/>
      <sz val="11"/>
      <color rgb="FFFF0000"/>
      <name val="宋体"/>
      <family val="3"/>
      <charset val="134"/>
      <scheme val="minor"/>
    </font>
    <font>
      <sz val="8"/>
      <name val="宋体"/>
      <family val="3"/>
      <charset val="134"/>
    </font>
    <font>
      <sz val="9"/>
      <color indexed="81"/>
      <name val="Tahoma"/>
      <family val="2"/>
    </font>
    <font>
      <b/>
      <sz val="9"/>
      <color indexed="81"/>
      <name val="宋体"/>
      <family val="3"/>
      <charset val="134"/>
    </font>
    <font>
      <sz val="9"/>
      <color indexed="81"/>
      <name val="宋体"/>
      <family val="3"/>
      <charset val="134"/>
    </font>
    <font>
      <b/>
      <sz val="9"/>
      <color indexed="81"/>
      <name val="Tahoma"/>
      <family val="2"/>
    </font>
    <font>
      <sz val="11"/>
      <name val="宋体"/>
      <family val="2"/>
      <scheme val="minor"/>
    </font>
    <font>
      <b/>
      <sz val="12"/>
      <color rgb="FFFF0000"/>
      <name val="宋体"/>
      <family val="3"/>
      <charset val="134"/>
    </font>
    <font>
      <sz val="12"/>
      <color theme="1"/>
      <name val="宋体"/>
      <family val="3"/>
      <charset val="134"/>
    </font>
    <font>
      <sz val="12"/>
      <name val="仿宋_GB2312"/>
      <family val="3"/>
      <charset val="134"/>
    </font>
    <font>
      <vertAlign val="subscript"/>
      <sz val="12"/>
      <name val="仿宋_GB2312"/>
      <family val="3"/>
      <charset val="134"/>
    </font>
    <font>
      <sz val="10"/>
      <color indexed="10"/>
      <name val="宋体"/>
      <family val="3"/>
      <charset val="134"/>
    </font>
    <font>
      <sz val="12"/>
      <color indexed="10"/>
      <name val="仿宋_GB2312"/>
      <family val="3"/>
      <charset val="134"/>
    </font>
    <font>
      <b/>
      <sz val="22"/>
      <color theme="1"/>
      <name val="宋体"/>
      <family val="3"/>
      <charset val="134"/>
    </font>
    <font>
      <sz val="12"/>
      <color theme="1"/>
      <name val="Times New Roman"/>
      <family val="1"/>
    </font>
    <font>
      <vertAlign val="subscript"/>
      <sz val="12"/>
      <color theme="1"/>
      <name val="Times New Roman"/>
      <family val="1"/>
    </font>
    <font>
      <vertAlign val="subscript"/>
      <sz val="12"/>
      <color theme="1"/>
      <name val="宋体"/>
      <family val="3"/>
      <charset val="134"/>
    </font>
    <font>
      <vertAlign val="superscript"/>
      <sz val="12"/>
      <color theme="1"/>
      <name val="Times New Roman"/>
      <family val="1"/>
    </font>
    <font>
      <b/>
      <sz val="12"/>
      <color theme="1"/>
      <name val="宋体"/>
      <family val="3"/>
      <charset val="134"/>
    </font>
    <font>
      <sz val="11"/>
      <color indexed="8"/>
      <name val="宋体"/>
      <family val="3"/>
      <charset val="134"/>
    </font>
  </fonts>
  <fills count="18">
    <fill>
      <patternFill patternType="none"/>
    </fill>
    <fill>
      <patternFill patternType="gray125"/>
    </fill>
    <fill>
      <patternFill patternType="solid">
        <fgColor indexed="15"/>
        <bgColor indexed="64"/>
      </patternFill>
    </fill>
    <fill>
      <patternFill patternType="solid">
        <fgColor indexed="43"/>
        <bgColor indexed="64"/>
      </patternFill>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8"/>
        <bgColor indexed="64"/>
      </patternFill>
    </fill>
    <fill>
      <patternFill patternType="solid">
        <fgColor rgb="FFFF0000"/>
        <bgColor indexed="64"/>
      </patternFill>
    </fill>
    <fill>
      <patternFill patternType="solid">
        <fgColor theme="0"/>
        <bgColor indexed="64"/>
      </patternFill>
    </fill>
    <fill>
      <patternFill patternType="solid">
        <fgColor rgb="FFC00000"/>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7030A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rgb="FF000000"/>
      </left>
      <right style="medium">
        <color rgb="FF000000"/>
      </right>
      <top style="medium">
        <color indexed="64"/>
      </top>
      <bottom style="medium">
        <color rgb="FF000000"/>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style="medium">
        <color rgb="FF000000"/>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right/>
      <top style="medium">
        <color indexed="64"/>
      </top>
      <bottom style="medium">
        <color indexed="64"/>
      </bottom>
      <diagonal/>
    </border>
  </borders>
  <cellStyleXfs count="11">
    <xf numFmtId="0" fontId="0" fillId="0" borderId="0"/>
    <xf numFmtId="0" fontId="2" fillId="0" borderId="0">
      <alignment vertical="center"/>
    </xf>
    <xf numFmtId="0" fontId="5" fillId="0" borderId="0">
      <alignment vertical="center"/>
    </xf>
    <xf numFmtId="0" fontId="2" fillId="0" borderId="0">
      <alignment vertical="center"/>
    </xf>
    <xf numFmtId="0" fontId="15" fillId="0" borderId="0">
      <alignment vertical="center"/>
    </xf>
    <xf numFmtId="0" fontId="16" fillId="0" borderId="0">
      <alignment vertical="center"/>
    </xf>
    <xf numFmtId="0" fontId="15" fillId="0" borderId="0">
      <alignment vertical="center"/>
    </xf>
    <xf numFmtId="0" fontId="15" fillId="0" borderId="0">
      <alignment vertical="center"/>
    </xf>
    <xf numFmtId="0" fontId="15" fillId="0" borderId="0">
      <alignment vertical="center"/>
    </xf>
    <xf numFmtId="0" fontId="2" fillId="0" borderId="0">
      <alignment vertical="center"/>
    </xf>
    <xf numFmtId="0" fontId="5" fillId="0" borderId="0"/>
  </cellStyleXfs>
  <cellXfs count="49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2"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xf numFmtId="176" fontId="0" fillId="0" borderId="0" xfId="0" applyNumberFormat="1"/>
    <xf numFmtId="49" fontId="0" fillId="0" borderId="1" xfId="0" applyNumberFormat="1" applyBorder="1" applyAlignment="1">
      <alignment horizontal="center" vertical="center"/>
    </xf>
    <xf numFmtId="0" fontId="4" fillId="0" borderId="1" xfId="0" applyFont="1" applyBorder="1" applyAlignment="1">
      <alignment horizontal="center"/>
    </xf>
    <xf numFmtId="0" fontId="0" fillId="0" borderId="1" xfId="0" applyFill="1" applyBorder="1" applyAlignment="1">
      <alignment horizontal="left" vertical="center"/>
    </xf>
    <xf numFmtId="176" fontId="0" fillId="0" borderId="1" xfId="0" applyNumberFormat="1" applyBorder="1"/>
    <xf numFmtId="176" fontId="0" fillId="0" borderId="1" xfId="0" applyNumberFormat="1" applyBorder="1" applyAlignment="1">
      <alignment horizontal="center" vertical="center"/>
    </xf>
    <xf numFmtId="176" fontId="0" fillId="0" borderId="1" xfId="0" applyNumberFormat="1" applyBorder="1" applyAlignment="1">
      <alignment horizontal="center"/>
    </xf>
    <xf numFmtId="0" fontId="5" fillId="0" borderId="1" xfId="1" applyFont="1" applyBorder="1" applyAlignment="1">
      <alignment horizontal="center" vertical="center"/>
    </xf>
    <xf numFmtId="0" fontId="5" fillId="0" borderId="1" xfId="3" applyFont="1" applyBorder="1" applyAlignment="1">
      <alignment horizontal="center" vertical="center"/>
    </xf>
    <xf numFmtId="0" fontId="5" fillId="0" borderId="1" xfId="3" applyFont="1" applyBorder="1" applyAlignment="1">
      <alignment horizontal="center" vertical="center"/>
    </xf>
    <xf numFmtId="0" fontId="0" fillId="0" borderId="1" xfId="0" applyBorder="1" applyAlignment="1">
      <alignment horizontal="center" vertical="center"/>
    </xf>
    <xf numFmtId="176" fontId="12" fillId="0" borderId="1" xfId="0" applyNumberFormat="1" applyFont="1" applyBorder="1" applyAlignment="1">
      <alignment horizontal="center" vertical="center"/>
    </xf>
    <xf numFmtId="49" fontId="0" fillId="0" borderId="1" xfId="0" applyNumberFormat="1" applyBorder="1" applyAlignment="1">
      <alignment horizontal="center" vertical="center"/>
    </xf>
    <xf numFmtId="176" fontId="0" fillId="0" borderId="1" xfId="0" applyNumberFormat="1" applyBorder="1" applyAlignment="1">
      <alignment horizontal="center" vertical="center"/>
    </xf>
    <xf numFmtId="0" fontId="0" fillId="0" borderId="1" xfId="0" applyBorder="1" applyAlignment="1">
      <alignment horizontal="left" vertical="center"/>
    </xf>
    <xf numFmtId="0" fontId="13" fillId="0" borderId="0" xfId="0" applyFont="1" applyBorder="1" applyAlignment="1">
      <alignment vertical="center"/>
    </xf>
    <xf numFmtId="0" fontId="0" fillId="0" borderId="0" xfId="0" applyBorder="1" applyAlignment="1">
      <alignment vertical="center"/>
    </xf>
    <xf numFmtId="0" fontId="11" fillId="0" borderId="0" xfId="0" applyFont="1" applyBorder="1" applyAlignment="1">
      <alignment horizontal="center" vertical="center"/>
    </xf>
    <xf numFmtId="0" fontId="0" fillId="0" borderId="1" xfId="0" applyBorder="1" applyAlignment="1">
      <alignment vertical="center"/>
    </xf>
    <xf numFmtId="178" fontId="13" fillId="0" borderId="1" xfId="0" applyNumberFormat="1" applyFont="1" applyFill="1" applyBorder="1" applyAlignment="1">
      <alignment vertical="center"/>
    </xf>
    <xf numFmtId="0" fontId="5" fillId="0" borderId="1" xfId="0" applyFont="1" applyBorder="1" applyAlignment="1">
      <alignment vertical="center"/>
    </xf>
    <xf numFmtId="0" fontId="0" fillId="0" borderId="1" xfId="0" applyFill="1" applyBorder="1" applyAlignment="1">
      <alignment vertical="center"/>
    </xf>
    <xf numFmtId="0" fontId="0" fillId="0" borderId="0" xfId="0" applyFill="1" applyBorder="1" applyAlignment="1">
      <alignment vertical="center"/>
    </xf>
    <xf numFmtId="178" fontId="0" fillId="0" borderId="1" xfId="0" applyNumberFormat="1" applyBorder="1" applyAlignment="1">
      <alignment vertical="center"/>
    </xf>
    <xf numFmtId="179" fontId="0" fillId="0" borderId="1" xfId="0" applyNumberFormat="1" applyBorder="1" applyAlignment="1">
      <alignment vertical="center"/>
    </xf>
    <xf numFmtId="179" fontId="13" fillId="0" borderId="1" xfId="0" applyNumberFormat="1" applyFont="1" applyFill="1" applyBorder="1" applyAlignment="1">
      <alignment vertical="center"/>
    </xf>
    <xf numFmtId="0" fontId="11" fillId="0" borderId="1" xfId="0" applyFont="1" applyBorder="1" applyAlignment="1">
      <alignment vertical="center"/>
    </xf>
    <xf numFmtId="0" fontId="11" fillId="0" borderId="1" xfId="0" applyFont="1" applyFill="1" applyBorder="1" applyAlignment="1">
      <alignment vertical="center"/>
    </xf>
    <xf numFmtId="0" fontId="16" fillId="0" borderId="1" xfId="6" applyFont="1" applyBorder="1" applyAlignment="1">
      <alignment horizontal="center" vertical="center"/>
    </xf>
    <xf numFmtId="180" fontId="16" fillId="0" borderId="1" xfId="6" applyNumberFormat="1" applyFont="1" applyBorder="1" applyAlignment="1">
      <alignment horizontal="center" vertical="center"/>
    </xf>
    <xf numFmtId="0" fontId="16" fillId="0" borderId="1" xfId="6" applyFont="1" applyBorder="1" applyAlignment="1">
      <alignment horizontal="center" vertical="center"/>
    </xf>
    <xf numFmtId="180" fontId="16" fillId="0" borderId="1" xfId="6" applyNumberFormat="1" applyFont="1" applyBorder="1" applyAlignment="1">
      <alignment horizontal="center" vertical="center"/>
    </xf>
    <xf numFmtId="180" fontId="22" fillId="0" borderId="1" xfId="6" applyNumberFormat="1" applyFont="1" applyFill="1" applyBorder="1" applyAlignment="1">
      <alignment horizontal="center" vertical="center"/>
    </xf>
    <xf numFmtId="0" fontId="16" fillId="0" borderId="1" xfId="6" applyFont="1" applyBorder="1" applyAlignment="1">
      <alignment horizontal="center" vertical="center"/>
    </xf>
    <xf numFmtId="0" fontId="18" fillId="0" borderId="1" xfId="6" applyFont="1" applyBorder="1" applyAlignment="1">
      <alignment horizontal="center" vertical="center"/>
    </xf>
    <xf numFmtId="0" fontId="16" fillId="0" borderId="1" xfId="6" applyFont="1" applyFill="1" applyBorder="1" applyAlignment="1">
      <alignment horizontal="center" vertical="center"/>
    </xf>
    <xf numFmtId="2" fontId="16" fillId="0" borderId="1" xfId="6" applyNumberFormat="1" applyFont="1" applyBorder="1" applyAlignment="1">
      <alignment horizontal="center" vertical="center"/>
    </xf>
    <xf numFmtId="0" fontId="19" fillId="0" borderId="1" xfId="6" applyFont="1" applyBorder="1" applyAlignment="1">
      <alignment horizontal="center" vertical="center"/>
    </xf>
    <xf numFmtId="0" fontId="6" fillId="0" borderId="1" xfId="6" applyFont="1" applyBorder="1" applyAlignment="1">
      <alignment horizontal="center" vertical="center"/>
    </xf>
    <xf numFmtId="180" fontId="16" fillId="0" borderId="1" xfId="6" applyNumberFormat="1" applyFont="1" applyFill="1" applyBorder="1" applyAlignment="1">
      <alignment horizontal="center" vertical="center"/>
    </xf>
    <xf numFmtId="180" fontId="18" fillId="0" borderId="1" xfId="6" applyNumberFormat="1" applyFont="1" applyFill="1" applyBorder="1" applyAlignment="1">
      <alignment horizontal="center" vertical="center"/>
    </xf>
    <xf numFmtId="176" fontId="18" fillId="3" borderId="1" xfId="6" applyNumberFormat="1" applyFont="1" applyFill="1" applyBorder="1" applyAlignment="1" applyProtection="1">
      <alignment horizontal="center" vertical="center"/>
      <protection locked="0"/>
    </xf>
    <xf numFmtId="0" fontId="5" fillId="0" borderId="1" xfId="3" applyFont="1" applyBorder="1" applyAlignment="1">
      <alignment horizontal="center" vertical="center"/>
    </xf>
    <xf numFmtId="0" fontId="8" fillId="0" borderId="1" xfId="3" applyFont="1" applyBorder="1" applyAlignment="1">
      <alignment horizontal="center" vertical="center"/>
    </xf>
    <xf numFmtId="0" fontId="8" fillId="4" borderId="1" xfId="3" applyFont="1" applyFill="1" applyBorder="1" applyAlignment="1">
      <alignment horizontal="center" vertical="center"/>
    </xf>
    <xf numFmtId="0" fontId="6" fillId="4" borderId="1" xfId="3" applyFont="1" applyFill="1" applyBorder="1" applyAlignment="1">
      <alignment horizontal="center" vertical="center"/>
    </xf>
    <xf numFmtId="180" fontId="8" fillId="0" borderId="1" xfId="3" applyNumberFormat="1" applyFont="1" applyBorder="1" applyAlignment="1">
      <alignment horizontal="center" vertical="center"/>
    </xf>
    <xf numFmtId="180" fontId="23" fillId="0" borderId="1" xfId="3" applyNumberFormat="1" applyFont="1" applyBorder="1" applyAlignment="1">
      <alignment horizontal="center" vertical="center"/>
    </xf>
    <xf numFmtId="0" fontId="5" fillId="0" borderId="1" xfId="3" applyFont="1" applyBorder="1" applyAlignment="1">
      <alignment horizontal="center" vertical="center"/>
    </xf>
    <xf numFmtId="0" fontId="8" fillId="0" borderId="1" xfId="3" applyFont="1" applyBorder="1" applyAlignment="1">
      <alignment horizontal="center" vertical="center"/>
    </xf>
    <xf numFmtId="0" fontId="8" fillId="4" borderId="1" xfId="3" applyFont="1" applyFill="1" applyBorder="1" applyAlignment="1">
      <alignment horizontal="center" vertical="center"/>
    </xf>
    <xf numFmtId="0" fontId="5" fillId="0" borderId="1" xfId="3" applyFont="1" applyFill="1" applyBorder="1" applyAlignment="1">
      <alignment horizontal="center" vertical="center"/>
    </xf>
    <xf numFmtId="0" fontId="6" fillId="4" borderId="1" xfId="3" applyFont="1" applyFill="1" applyBorder="1" applyAlignment="1">
      <alignment horizontal="center" vertical="center"/>
    </xf>
    <xf numFmtId="0" fontId="8" fillId="0" borderId="1" xfId="3" applyFont="1" applyBorder="1" applyAlignment="1">
      <alignment vertical="center"/>
    </xf>
    <xf numFmtId="0" fontId="8" fillId="4" borderId="1" xfId="3" applyFont="1" applyFill="1" applyBorder="1" applyAlignment="1">
      <alignment vertical="center"/>
    </xf>
    <xf numFmtId="0" fontId="8" fillId="4" borderId="1" xfId="3" applyFont="1" applyFill="1" applyBorder="1" applyAlignment="1">
      <alignment horizontal="left" vertical="center"/>
    </xf>
    <xf numFmtId="180" fontId="8" fillId="0" borderId="1" xfId="3" applyNumberFormat="1" applyFont="1" applyFill="1" applyBorder="1" applyAlignment="1">
      <alignment horizontal="center" vertical="center"/>
    </xf>
    <xf numFmtId="180" fontId="5" fillId="0" borderId="1" xfId="3" applyNumberFormat="1" applyFont="1" applyBorder="1" applyAlignment="1">
      <alignment horizontal="center" vertical="center"/>
    </xf>
    <xf numFmtId="180" fontId="8" fillId="0" borderId="1" xfId="3" applyNumberFormat="1" applyFont="1" applyBorder="1" applyAlignment="1">
      <alignment horizontal="center" vertical="center"/>
    </xf>
    <xf numFmtId="0" fontId="23" fillId="0" borderId="1" xfId="3" applyFont="1" applyBorder="1" applyAlignment="1">
      <alignment vertical="center"/>
    </xf>
    <xf numFmtId="0" fontId="23" fillId="4" borderId="1" xfId="3" applyFont="1" applyFill="1" applyBorder="1" applyAlignment="1">
      <alignment vertical="center"/>
    </xf>
    <xf numFmtId="0" fontId="8" fillId="0" borderId="1" xfId="3" applyFont="1" applyBorder="1" applyAlignment="1">
      <alignment horizontal="left" vertical="center"/>
    </xf>
    <xf numFmtId="176" fontId="8" fillId="3" borderId="1" xfId="3" applyNumberFormat="1" applyFont="1" applyFill="1" applyBorder="1" applyAlignment="1" applyProtection="1">
      <alignment horizontal="center" vertical="center"/>
      <protection locked="0"/>
    </xf>
    <xf numFmtId="0" fontId="5" fillId="0" borderId="1" xfId="3" applyFont="1" applyBorder="1" applyAlignment="1">
      <alignment horizontal="center" vertical="center"/>
    </xf>
    <xf numFmtId="0" fontId="8" fillId="0" borderId="1" xfId="3" applyFont="1" applyBorder="1" applyAlignment="1">
      <alignment horizontal="center" vertical="center"/>
    </xf>
    <xf numFmtId="0" fontId="8" fillId="4" borderId="1" xfId="3" applyFont="1" applyFill="1" applyBorder="1" applyAlignment="1">
      <alignment horizontal="center" vertical="center"/>
    </xf>
    <xf numFmtId="0" fontId="5" fillId="0" borderId="1" xfId="3" applyFont="1" applyFill="1" applyBorder="1" applyAlignment="1">
      <alignment horizontal="center" vertical="center"/>
    </xf>
    <xf numFmtId="0" fontId="6" fillId="4" borderId="1" xfId="3" applyFont="1" applyFill="1" applyBorder="1" applyAlignment="1">
      <alignment horizontal="center" vertical="center"/>
    </xf>
    <xf numFmtId="0" fontId="8" fillId="4" borderId="1" xfId="3" applyFont="1" applyFill="1" applyBorder="1" applyAlignment="1">
      <alignment vertical="center"/>
    </xf>
    <xf numFmtId="180" fontId="5" fillId="0" borderId="1" xfId="3" applyNumberFormat="1" applyFont="1" applyBorder="1" applyAlignment="1">
      <alignment horizontal="center" vertical="center"/>
    </xf>
    <xf numFmtId="180" fontId="8" fillId="0" borderId="1" xfId="3" applyNumberFormat="1" applyFont="1" applyBorder="1" applyAlignment="1">
      <alignment horizontal="center" vertical="center"/>
    </xf>
    <xf numFmtId="0" fontId="23" fillId="0" borderId="1" xfId="3" applyFont="1" applyBorder="1" applyAlignment="1">
      <alignment vertical="center"/>
    </xf>
    <xf numFmtId="0" fontId="8" fillId="0" borderId="1" xfId="3" applyFont="1" applyBorder="1" applyAlignment="1">
      <alignment horizontal="left" vertical="center"/>
    </xf>
    <xf numFmtId="0" fontId="5" fillId="0" borderId="1" xfId="3" applyFont="1" applyBorder="1" applyAlignment="1">
      <alignment horizontal="center" vertical="center"/>
    </xf>
    <xf numFmtId="0" fontId="8" fillId="0" borderId="1" xfId="3" applyFont="1" applyBorder="1" applyAlignment="1">
      <alignment horizontal="center" vertical="center"/>
    </xf>
    <xf numFmtId="0" fontId="8" fillId="4" borderId="1" xfId="3" applyFont="1" applyFill="1" applyBorder="1" applyAlignment="1">
      <alignment horizontal="center" vertical="center"/>
    </xf>
    <xf numFmtId="0" fontId="6" fillId="4" borderId="1" xfId="3" applyFont="1" applyFill="1" applyBorder="1" applyAlignment="1">
      <alignment horizontal="center" vertical="center"/>
    </xf>
    <xf numFmtId="180" fontId="8" fillId="0" borderId="1" xfId="3" applyNumberFormat="1" applyFont="1" applyBorder="1" applyAlignment="1">
      <alignment horizontal="center" vertical="center"/>
    </xf>
    <xf numFmtId="0" fontId="23" fillId="0" borderId="1" xfId="3" applyFont="1" applyBorder="1" applyAlignment="1">
      <alignment vertical="center"/>
    </xf>
    <xf numFmtId="0" fontId="5" fillId="0" borderId="1" xfId="3" applyFont="1" applyBorder="1" applyAlignment="1">
      <alignment horizontal="center" vertical="center"/>
    </xf>
    <xf numFmtId="0" fontId="8" fillId="0" borderId="1" xfId="3" applyFont="1" applyBorder="1" applyAlignment="1">
      <alignment horizontal="center" vertical="center"/>
    </xf>
    <xf numFmtId="2" fontId="5" fillId="0" borderId="1" xfId="3" applyNumberFormat="1" applyFont="1" applyBorder="1" applyAlignment="1">
      <alignment horizontal="center" vertical="center"/>
    </xf>
    <xf numFmtId="0" fontId="6" fillId="0" borderId="1" xfId="3" applyFont="1" applyBorder="1" applyAlignment="1">
      <alignment horizontal="center" vertical="center"/>
    </xf>
    <xf numFmtId="180" fontId="5" fillId="0" borderId="1" xfId="3" applyNumberFormat="1" applyFont="1" applyFill="1" applyBorder="1" applyAlignment="1">
      <alignment horizontal="center" vertical="center"/>
    </xf>
    <xf numFmtId="180" fontId="8" fillId="0" borderId="1" xfId="3" applyNumberFormat="1" applyFont="1" applyBorder="1" applyAlignment="1">
      <alignment horizontal="center" vertical="center"/>
    </xf>
    <xf numFmtId="0" fontId="23" fillId="0" borderId="1" xfId="3" applyFont="1" applyBorder="1" applyAlignment="1">
      <alignment vertical="center"/>
    </xf>
    <xf numFmtId="0" fontId="5" fillId="0" borderId="1" xfId="3" applyFont="1" applyBorder="1" applyAlignment="1">
      <alignment horizontal="center" vertical="center"/>
    </xf>
    <xf numFmtId="0" fontId="8" fillId="0" borderId="1" xfId="3" applyFont="1" applyBorder="1" applyAlignment="1">
      <alignment horizontal="center" vertical="center"/>
    </xf>
    <xf numFmtId="0" fontId="5" fillId="0" borderId="1" xfId="3" applyFont="1" applyFill="1" applyBorder="1" applyAlignment="1">
      <alignment horizontal="center" vertical="center"/>
    </xf>
    <xf numFmtId="0" fontId="6" fillId="0" borderId="1" xfId="3" applyFont="1" applyBorder="1" applyAlignment="1">
      <alignment horizontal="center" vertical="center"/>
    </xf>
    <xf numFmtId="180" fontId="5" fillId="0" borderId="1" xfId="3" applyNumberFormat="1" applyFont="1" applyFill="1" applyBorder="1" applyAlignment="1">
      <alignment horizontal="center" vertical="center"/>
    </xf>
    <xf numFmtId="180" fontId="8" fillId="0" borderId="1" xfId="3" applyNumberFormat="1" applyFont="1" applyFill="1" applyBorder="1" applyAlignment="1">
      <alignment horizontal="center" vertical="center"/>
    </xf>
    <xf numFmtId="180" fontId="8" fillId="0" borderId="1" xfId="3" applyNumberFormat="1" applyFont="1" applyBorder="1" applyAlignment="1">
      <alignment horizontal="center" vertical="center"/>
    </xf>
    <xf numFmtId="0" fontId="23" fillId="0" borderId="1" xfId="3" applyFont="1" applyBorder="1" applyAlignment="1">
      <alignment vertical="center"/>
    </xf>
    <xf numFmtId="176" fontId="8" fillId="3" borderId="1" xfId="3" applyNumberFormat="1" applyFont="1" applyFill="1" applyBorder="1" applyAlignment="1" applyProtection="1">
      <alignment horizontal="center" vertical="center"/>
      <protection locked="0"/>
    </xf>
    <xf numFmtId="0" fontId="5" fillId="0" borderId="1" xfId="3" applyFont="1" applyBorder="1" applyAlignment="1">
      <alignment horizontal="center" vertical="center"/>
    </xf>
    <xf numFmtId="0" fontId="8" fillId="0" borderId="1" xfId="3" applyFont="1" applyBorder="1" applyAlignment="1">
      <alignment horizontal="center" vertical="center"/>
    </xf>
    <xf numFmtId="0" fontId="8" fillId="4" borderId="1" xfId="3" applyFont="1" applyFill="1" applyBorder="1" applyAlignment="1">
      <alignment horizontal="center" vertical="center"/>
    </xf>
    <xf numFmtId="0" fontId="6" fillId="4" borderId="1" xfId="3" applyFont="1" applyFill="1" applyBorder="1" applyAlignment="1">
      <alignment horizontal="center" vertical="center"/>
    </xf>
    <xf numFmtId="0" fontId="5" fillId="0" borderId="5" xfId="3" applyFont="1" applyFill="1" applyBorder="1" applyAlignment="1">
      <alignment horizontal="center" vertical="center"/>
    </xf>
    <xf numFmtId="0" fontId="5" fillId="0" borderId="5" xfId="3" applyFont="1" applyBorder="1" applyAlignment="1">
      <alignment horizontal="center" vertical="center"/>
    </xf>
    <xf numFmtId="0" fontId="6" fillId="0" borderId="5" xfId="3" applyFont="1" applyFill="1" applyBorder="1" applyAlignment="1">
      <alignment horizontal="center" vertical="center"/>
    </xf>
    <xf numFmtId="180" fontId="5" fillId="0" borderId="1" xfId="3" applyNumberFormat="1" applyFont="1" applyFill="1" applyBorder="1" applyAlignment="1">
      <alignment horizontal="center" vertical="center"/>
    </xf>
    <xf numFmtId="180" fontId="8" fillId="0" borderId="1" xfId="3" applyNumberFormat="1" applyFont="1" applyFill="1" applyBorder="1" applyAlignment="1">
      <alignment horizontal="center" vertical="center"/>
    </xf>
    <xf numFmtId="180" fontId="5" fillId="0" borderId="1" xfId="3" applyNumberFormat="1" applyFont="1" applyBorder="1" applyAlignment="1">
      <alignment horizontal="center" vertical="center"/>
    </xf>
    <xf numFmtId="180" fontId="8" fillId="0" borderId="1" xfId="3" applyNumberFormat="1" applyFont="1" applyBorder="1" applyAlignment="1">
      <alignment horizontal="center" vertical="center"/>
    </xf>
    <xf numFmtId="180" fontId="8" fillId="0" borderId="5" xfId="3" applyNumberFormat="1" applyFont="1" applyBorder="1" applyAlignment="1">
      <alignment horizontal="center" vertical="center"/>
    </xf>
    <xf numFmtId="181" fontId="0" fillId="0" borderId="1" xfId="0" applyNumberFormat="1" applyBorder="1" applyAlignment="1">
      <alignment horizontal="center"/>
    </xf>
    <xf numFmtId="181" fontId="0" fillId="0" borderId="1" xfId="0" applyNumberFormat="1" applyBorder="1" applyAlignment="1">
      <alignment horizontal="center" vertical="center"/>
    </xf>
    <xf numFmtId="181" fontId="0" fillId="0" borderId="0" xfId="0" applyNumberFormat="1" applyAlignment="1">
      <alignment horizontal="center"/>
    </xf>
    <xf numFmtId="181" fontId="12" fillId="0" borderId="1" xfId="0" applyNumberFormat="1" applyFont="1" applyBorder="1" applyAlignment="1">
      <alignment horizontal="center" vertical="center"/>
    </xf>
    <xf numFmtId="0" fontId="8" fillId="0" borderId="1" xfId="0" applyFont="1" applyBorder="1" applyAlignment="1">
      <alignment horizontal="left" vertical="center"/>
    </xf>
    <xf numFmtId="0" fontId="8" fillId="0" borderId="1" xfId="0" applyFont="1" applyFill="1" applyBorder="1" applyAlignment="1">
      <alignment horizontal="left" vertical="center"/>
    </xf>
    <xf numFmtId="0" fontId="5" fillId="0" borderId="1" xfId="0" applyFont="1" applyBorder="1" applyAlignment="1">
      <alignment horizontal="left" vertical="center"/>
    </xf>
    <xf numFmtId="181" fontId="8" fillId="0" borderId="5" xfId="3" applyNumberFormat="1" applyFont="1" applyBorder="1" applyAlignment="1">
      <alignment horizontal="center" vertical="center"/>
    </xf>
    <xf numFmtId="181" fontId="26" fillId="3" borderId="1" xfId="3" applyNumberFormat="1" applyFont="1" applyFill="1" applyBorder="1" applyAlignment="1" applyProtection="1">
      <alignment horizontal="center" vertical="center"/>
      <protection locked="0"/>
    </xf>
    <xf numFmtId="181" fontId="8" fillId="0" borderId="1" xfId="3" applyNumberFormat="1" applyFont="1" applyBorder="1" applyAlignment="1">
      <alignment horizontal="center" vertical="center"/>
    </xf>
    <xf numFmtId="0" fontId="8" fillId="0" borderId="1" xfId="3" applyFont="1" applyBorder="1" applyAlignment="1" applyProtection="1">
      <alignment horizontal="center" vertical="center"/>
    </xf>
    <xf numFmtId="0" fontId="5" fillId="0" borderId="1" xfId="3" applyFont="1" applyBorder="1" applyAlignment="1" applyProtection="1">
      <alignment horizontal="center" vertical="center"/>
    </xf>
    <xf numFmtId="176" fontId="5" fillId="0" borderId="1" xfId="3" applyNumberFormat="1" applyFont="1" applyBorder="1" applyAlignment="1" applyProtection="1">
      <alignment horizontal="center" vertical="center"/>
    </xf>
    <xf numFmtId="181" fontId="23" fillId="0" borderId="1" xfId="3" applyNumberFormat="1" applyFon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1" xfId="0" applyBorder="1" applyAlignment="1">
      <alignment horizontal="center"/>
    </xf>
    <xf numFmtId="2" fontId="12" fillId="0" borderId="1" xfId="0" applyNumberFormat="1" applyFont="1" applyBorder="1" applyAlignment="1">
      <alignment horizontal="center" vertical="center"/>
    </xf>
    <xf numFmtId="9" fontId="8" fillId="0" borderId="1" xfId="0" applyNumberFormat="1" applyFont="1" applyBorder="1" applyAlignment="1">
      <alignment horizontal="left" vertical="center"/>
    </xf>
    <xf numFmtId="183" fontId="26" fillId="3" borderId="1" xfId="3" applyNumberFormat="1" applyFont="1" applyFill="1" applyBorder="1" applyAlignment="1" applyProtection="1">
      <alignment horizontal="center" vertical="center"/>
      <protection locked="0"/>
    </xf>
    <xf numFmtId="49" fontId="0" fillId="0" borderId="6" xfId="0" applyNumberFormat="1" applyBorder="1" applyAlignment="1">
      <alignment horizontal="center" vertical="center"/>
    </xf>
    <xf numFmtId="0" fontId="13" fillId="0" borderId="0" xfId="0" applyFont="1" applyBorder="1" applyAlignment="1">
      <alignment horizontal="center" vertical="center"/>
    </xf>
    <xf numFmtId="2" fontId="12" fillId="0" borderId="1" xfId="0" applyNumberFormat="1" applyFont="1" applyBorder="1" applyAlignment="1">
      <alignment horizontal="center"/>
    </xf>
    <xf numFmtId="0" fontId="23" fillId="0" borderId="1" xfId="0" applyFont="1" applyFill="1" applyBorder="1" applyAlignment="1">
      <alignment horizontal="left" vertical="center"/>
    </xf>
    <xf numFmtId="0" fontId="23" fillId="0" borderId="1" xfId="0" applyFont="1" applyBorder="1" applyAlignment="1">
      <alignment horizontal="left" vertical="center"/>
    </xf>
    <xf numFmtId="0" fontId="12" fillId="0" borderId="1" xfId="0" applyFont="1" applyBorder="1" applyAlignment="1">
      <alignment horizontal="center"/>
    </xf>
    <xf numFmtId="0" fontId="12" fillId="0" borderId="1" xfId="0" applyFont="1" applyBorder="1"/>
    <xf numFmtId="0" fontId="2" fillId="0" borderId="1" xfId="0" applyFont="1" applyBorder="1" applyAlignment="1">
      <alignment horizontal="center"/>
    </xf>
    <xf numFmtId="0" fontId="8" fillId="0" borderId="4" xfId="0" applyFont="1" applyBorder="1" applyAlignment="1">
      <alignment horizontal="left" vertical="center"/>
    </xf>
    <xf numFmtId="1" fontId="0" fillId="0" borderId="1" xfId="0" applyNumberFormat="1" applyFill="1" applyBorder="1" applyAlignment="1">
      <alignment vertical="center"/>
    </xf>
    <xf numFmtId="1" fontId="0" fillId="0" borderId="1" xfId="0" applyNumberFormat="1" applyBorder="1" applyAlignment="1">
      <alignment horizontal="center" vertical="center"/>
    </xf>
    <xf numFmtId="176" fontId="0" fillId="0" borderId="0" xfId="0" applyNumberFormat="1" applyAlignment="1">
      <alignment horizontal="center"/>
    </xf>
    <xf numFmtId="176" fontId="0" fillId="0" borderId="1" xfId="0" applyNumberFormat="1" applyBorder="1" applyAlignment="1">
      <alignment horizontal="center" vertical="center"/>
    </xf>
    <xf numFmtId="49" fontId="41" fillId="0" borderId="1" xfId="0" applyNumberFormat="1" applyFont="1" applyBorder="1" applyAlignment="1">
      <alignment horizontal="center" vertical="center"/>
    </xf>
    <xf numFmtId="0" fontId="41" fillId="0" borderId="1" xfId="0" applyFont="1" applyFill="1" applyBorder="1" applyAlignment="1"/>
    <xf numFmtId="176" fontId="41" fillId="0" borderId="1" xfId="0" applyNumberFormat="1" applyFont="1" applyBorder="1" applyAlignment="1">
      <alignment horizontal="center" vertical="center"/>
    </xf>
    <xf numFmtId="0" fontId="41" fillId="0" borderId="1" xfId="0" applyFont="1" applyBorder="1" applyAlignment="1">
      <alignment vertical="center"/>
    </xf>
    <xf numFmtId="0" fontId="41" fillId="0" borderId="1" xfId="0" applyFont="1" applyBorder="1" applyAlignment="1">
      <alignment horizontal="left" vertical="center"/>
    </xf>
    <xf numFmtId="176" fontId="41" fillId="7" borderId="1" xfId="0" applyNumberFormat="1" applyFont="1" applyFill="1" applyBorder="1" applyAlignment="1">
      <alignment horizontal="center" vertical="center"/>
    </xf>
    <xf numFmtId="0" fontId="41" fillId="0" borderId="1" xfId="0" applyFont="1" applyFill="1" applyBorder="1" applyAlignment="1">
      <alignment horizontal="right"/>
    </xf>
    <xf numFmtId="0" fontId="41" fillId="0" borderId="1" xfId="0" applyFont="1" applyBorder="1" applyAlignment="1">
      <alignment horizontal="right" vertical="center"/>
    </xf>
    <xf numFmtId="0" fontId="41" fillId="0" borderId="1" xfId="0" applyFont="1" applyFill="1" applyBorder="1" applyAlignment="1">
      <alignment vertical="center"/>
    </xf>
    <xf numFmtId="0" fontId="42" fillId="0" borderId="1" xfId="0" applyFont="1" applyBorder="1" applyAlignment="1">
      <alignment vertical="center"/>
    </xf>
    <xf numFmtId="176" fontId="41" fillId="0" borderId="1" xfId="0" applyNumberFormat="1" applyFont="1" applyFill="1" applyBorder="1" applyAlignment="1">
      <alignment horizontal="center" vertical="center"/>
    </xf>
    <xf numFmtId="0" fontId="41" fillId="0" borderId="1" xfId="0" applyFont="1" applyFill="1" applyBorder="1" applyAlignment="1">
      <alignment horizontal="left" vertical="center"/>
    </xf>
    <xf numFmtId="0" fontId="43" fillId="0" borderId="1" xfId="10" applyFont="1" applyFill="1" applyBorder="1" applyAlignment="1">
      <alignment horizontal="left" vertical="center" shrinkToFit="1"/>
    </xf>
    <xf numFmtId="177" fontId="41" fillId="7" borderId="1" xfId="0" applyNumberFormat="1" applyFont="1" applyFill="1" applyBorder="1" applyAlignment="1">
      <alignment horizontal="center" vertical="center"/>
    </xf>
    <xf numFmtId="0" fontId="41" fillId="0" borderId="1" xfId="0" applyFont="1" applyFill="1" applyBorder="1" applyAlignment="1">
      <alignment horizontal="right" vertical="center"/>
    </xf>
    <xf numFmtId="0" fontId="44" fillId="0" borderId="1" xfId="0" applyFont="1" applyBorder="1" applyAlignment="1">
      <alignment vertical="center"/>
    </xf>
    <xf numFmtId="176" fontId="45" fillId="7" borderId="1" xfId="0" applyNumberFormat="1" applyFont="1" applyFill="1" applyBorder="1" applyAlignment="1">
      <alignment horizontal="center" vertical="center"/>
    </xf>
    <xf numFmtId="0" fontId="0" fillId="0" borderId="0" xfId="0" applyAlignment="1">
      <alignment vertical="center"/>
    </xf>
    <xf numFmtId="0" fontId="0" fillId="0" borderId="1" xfId="0" applyBorder="1" applyAlignment="1">
      <alignment horizontal="right" vertical="center"/>
    </xf>
    <xf numFmtId="0" fontId="0" fillId="0" borderId="3" xfId="0" applyBorder="1" applyAlignment="1">
      <alignment vertical="center"/>
    </xf>
    <xf numFmtId="0" fontId="41" fillId="0" borderId="3" xfId="0" applyFont="1" applyBorder="1" applyAlignment="1">
      <alignment vertical="center"/>
    </xf>
    <xf numFmtId="0" fontId="11" fillId="0" borderId="3" xfId="0" applyFont="1" applyBorder="1" applyAlignment="1">
      <alignment vertical="center"/>
    </xf>
    <xf numFmtId="0" fontId="0" fillId="8" borderId="1" xfId="0" applyFill="1" applyBorder="1" applyAlignment="1">
      <alignment horizontal="center" vertical="center" wrapText="1"/>
    </xf>
    <xf numFmtId="0" fontId="41" fillId="8" borderId="1" xfId="0" applyFont="1" applyFill="1" applyBorder="1" applyAlignment="1">
      <alignment horizontal="center" vertical="center" wrapText="1"/>
    </xf>
    <xf numFmtId="0" fontId="0" fillId="0" borderId="0" xfId="0" applyBorder="1" applyAlignment="1">
      <alignment horizontal="center" vertical="center" wrapText="1"/>
    </xf>
    <xf numFmtId="0" fontId="0" fillId="8" borderId="1" xfId="0" applyFill="1" applyBorder="1" applyAlignment="1">
      <alignment horizontal="center" vertical="center"/>
    </xf>
    <xf numFmtId="178" fontId="0" fillId="7" borderId="1" xfId="0" applyNumberFormat="1" applyFill="1" applyBorder="1" applyAlignment="1">
      <alignment horizontal="left" vertical="center"/>
    </xf>
    <xf numFmtId="176" fontId="0" fillId="8" borderId="1" xfId="0" applyNumberFormat="1" applyFill="1" applyBorder="1" applyAlignment="1">
      <alignment horizontal="left" vertical="center"/>
    </xf>
    <xf numFmtId="0" fontId="0" fillId="8" borderId="1" xfId="0" applyFill="1" applyBorder="1" applyAlignment="1">
      <alignment horizontal="left" vertical="center"/>
    </xf>
    <xf numFmtId="9" fontId="0" fillId="8" borderId="1" xfId="0" applyNumberFormat="1" applyFill="1" applyBorder="1" applyAlignment="1">
      <alignment horizontal="left" vertical="center"/>
    </xf>
    <xf numFmtId="0" fontId="0" fillId="0" borderId="0" xfId="0" applyBorder="1" applyAlignment="1">
      <alignment horizontal="center" vertical="center"/>
    </xf>
    <xf numFmtId="176" fontId="0" fillId="0" borderId="0" xfId="0" applyNumberFormat="1" applyBorder="1" applyAlignment="1">
      <alignment horizontal="center" vertical="center"/>
    </xf>
    <xf numFmtId="179" fontId="0" fillId="8" borderId="1" xfId="0" applyNumberFormat="1" applyFill="1" applyBorder="1" applyAlignment="1">
      <alignment horizontal="left" vertical="center"/>
    </xf>
    <xf numFmtId="0" fontId="26" fillId="8" borderId="1" xfId="0" applyFont="1" applyFill="1" applyBorder="1" applyAlignment="1">
      <alignment horizontal="center" vertical="center"/>
    </xf>
    <xf numFmtId="0" fontId="26" fillId="8" borderId="1" xfId="0" applyFont="1" applyFill="1" applyBorder="1" applyAlignment="1">
      <alignment horizontal="left" vertical="center"/>
    </xf>
    <xf numFmtId="9" fontId="26" fillId="8" borderId="1" xfId="0" applyNumberFormat="1" applyFont="1" applyFill="1" applyBorder="1" applyAlignment="1">
      <alignment horizontal="left" vertical="center"/>
    </xf>
    <xf numFmtId="179" fontId="0" fillId="7" borderId="1" xfId="0" applyNumberFormat="1" applyFill="1" applyBorder="1" applyAlignment="1">
      <alignment horizontal="left" vertical="center"/>
    </xf>
    <xf numFmtId="176" fontId="0" fillId="7" borderId="1" xfId="0" applyNumberFormat="1" applyFill="1" applyBorder="1" applyAlignment="1">
      <alignment horizontal="left" vertical="center"/>
    </xf>
    <xf numFmtId="176" fontId="5" fillId="0" borderId="1" xfId="0" applyNumberFormat="1" applyFont="1" applyFill="1" applyBorder="1" applyAlignment="1">
      <alignment horizontal="center" vertical="center"/>
    </xf>
    <xf numFmtId="176" fontId="0" fillId="0" borderId="0" xfId="0" applyNumberFormat="1" applyBorder="1" applyAlignment="1">
      <alignment vertical="center"/>
    </xf>
    <xf numFmtId="10" fontId="0" fillId="0" borderId="0" xfId="0" applyNumberFormat="1" applyBorder="1" applyAlignment="1">
      <alignment vertical="center"/>
    </xf>
    <xf numFmtId="176" fontId="0" fillId="2" borderId="1" xfId="0" applyNumberFormat="1" applyFill="1" applyBorder="1" applyAlignment="1">
      <alignment horizontal="center" vertical="center"/>
    </xf>
    <xf numFmtId="176" fontId="41" fillId="0" borderId="3" xfId="0" applyNumberFormat="1" applyFont="1" applyBorder="1" applyAlignment="1">
      <alignment horizontal="center" vertical="center"/>
    </xf>
    <xf numFmtId="176" fontId="0" fillId="8" borderId="1" xfId="0" applyNumberFormat="1" applyFill="1" applyBorder="1" applyAlignment="1">
      <alignment horizontal="center" vertical="center" wrapText="1"/>
    </xf>
    <xf numFmtId="176" fontId="41" fillId="8" borderId="1" xfId="0" applyNumberFormat="1" applyFont="1" applyFill="1" applyBorder="1" applyAlignment="1">
      <alignment horizontal="center" vertical="center" wrapText="1"/>
    </xf>
    <xf numFmtId="176" fontId="0" fillId="8" borderId="1" xfId="0" applyNumberFormat="1" applyFill="1" applyBorder="1" applyAlignment="1">
      <alignment horizontal="center" vertical="center"/>
    </xf>
    <xf numFmtId="176" fontId="26" fillId="8" borderId="1" xfId="0" applyNumberFormat="1" applyFont="1" applyFill="1" applyBorder="1" applyAlignment="1">
      <alignment horizontal="center" vertical="center"/>
    </xf>
    <xf numFmtId="176" fontId="5" fillId="2" borderId="1" xfId="0" applyNumberFormat="1" applyFont="1" applyFill="1" applyBorder="1" applyAlignment="1">
      <alignment horizontal="center" vertical="center"/>
    </xf>
    <xf numFmtId="176" fontId="26" fillId="2" borderId="1" xfId="0" applyNumberFormat="1" applyFont="1" applyFill="1" applyBorder="1" applyAlignment="1">
      <alignment horizontal="center" vertical="center"/>
    </xf>
    <xf numFmtId="176" fontId="0" fillId="9" borderId="1" xfId="0" applyNumberFormat="1" applyFill="1" applyBorder="1" applyAlignment="1">
      <alignment horizontal="center" vertical="center"/>
    </xf>
    <xf numFmtId="176" fontId="0" fillId="7" borderId="1" xfId="0" applyNumberFormat="1" applyFill="1" applyBorder="1" applyAlignment="1">
      <alignment horizontal="center" vertical="center"/>
    </xf>
    <xf numFmtId="178" fontId="47" fillId="7" borderId="4" xfId="0" applyNumberFormat="1" applyFont="1" applyFill="1" applyBorder="1" applyAlignment="1">
      <alignment horizontal="center" vertical="center"/>
    </xf>
    <xf numFmtId="0" fontId="50" fillId="0" borderId="1" xfId="0" applyFont="1" applyFill="1" applyBorder="1" applyAlignment="1">
      <alignment horizontal="left" vertical="center"/>
    </xf>
    <xf numFmtId="176" fontId="50" fillId="0" borderId="1" xfId="0" applyNumberFormat="1" applyFont="1" applyFill="1" applyBorder="1" applyAlignment="1">
      <alignment horizontal="center" vertical="center"/>
    </xf>
    <xf numFmtId="184" fontId="0" fillId="0" borderId="1" xfId="0" applyNumberFormat="1" applyBorder="1" applyAlignment="1">
      <alignment horizontal="center" vertical="center"/>
    </xf>
    <xf numFmtId="184" fontId="3" fillId="6" borderId="1" xfId="0" applyNumberFormat="1" applyFont="1" applyFill="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16" fillId="0" borderId="1" xfId="6" applyFont="1" applyBorder="1" applyAlignment="1">
      <alignment horizontal="center" vertical="center"/>
    </xf>
    <xf numFmtId="0" fontId="27" fillId="0" borderId="0" xfId="3" applyFont="1" applyFill="1" applyBorder="1" applyAlignment="1">
      <alignment horizontal="left" vertical="center"/>
    </xf>
    <xf numFmtId="0" fontId="27" fillId="0" borderId="0" xfId="3" applyFont="1" applyFill="1" applyBorder="1" applyAlignment="1">
      <alignment horizontal="center" vertical="center"/>
    </xf>
    <xf numFmtId="0" fontId="32" fillId="0" borderId="10" xfId="3" applyFont="1" applyFill="1" applyBorder="1" applyAlignment="1">
      <alignment horizontal="center" vertical="center" wrapText="1"/>
    </xf>
    <xf numFmtId="0" fontId="32" fillId="0" borderId="1" xfId="3" applyFont="1" applyFill="1" applyBorder="1" applyAlignment="1">
      <alignment horizontal="center" vertical="center" wrapText="1"/>
    </xf>
    <xf numFmtId="0" fontId="32" fillId="0" borderId="1" xfId="3" applyFont="1" applyFill="1" applyBorder="1" applyAlignment="1">
      <alignment vertical="center" wrapText="1"/>
    </xf>
    <xf numFmtId="0" fontId="53" fillId="0" borderId="1" xfId="3" applyFont="1" applyFill="1" applyBorder="1" applyAlignment="1">
      <alignment horizontal="center" vertical="center" wrapText="1"/>
    </xf>
    <xf numFmtId="0" fontId="54" fillId="0" borderId="1" xfId="3" applyFont="1" applyFill="1" applyBorder="1" applyAlignment="1">
      <alignment horizontal="center" vertical="center" wrapText="1"/>
    </xf>
    <xf numFmtId="0" fontId="32" fillId="0" borderId="1" xfId="3" applyFont="1" applyFill="1" applyBorder="1" applyAlignment="1">
      <alignment horizontal="center" vertical="center"/>
    </xf>
    <xf numFmtId="0" fontId="53" fillId="0" borderId="1" xfId="3" applyFont="1" applyFill="1" applyBorder="1" applyAlignment="1">
      <alignment horizontal="center" vertical="center"/>
    </xf>
    <xf numFmtId="0" fontId="55" fillId="0" borderId="11" xfId="3" applyFont="1" applyFill="1" applyBorder="1" applyAlignment="1">
      <alignment horizontal="center" vertical="center" wrapText="1"/>
    </xf>
    <xf numFmtId="0" fontId="27" fillId="0" borderId="10" xfId="3" applyFont="1" applyFill="1" applyBorder="1" applyAlignment="1">
      <alignment horizontal="center" vertical="center"/>
    </xf>
    <xf numFmtId="0" fontId="27" fillId="0" borderId="1" xfId="3" applyFont="1" applyFill="1" applyBorder="1" applyAlignment="1">
      <alignment horizontal="center" vertical="center"/>
    </xf>
    <xf numFmtId="0" fontId="27" fillId="0" borderId="11" xfId="3" applyFont="1" applyFill="1" applyBorder="1" applyAlignment="1">
      <alignment horizontal="center" vertical="center"/>
    </xf>
    <xf numFmtId="0" fontId="14" fillId="0" borderId="1" xfId="3" applyFont="1" applyFill="1" applyBorder="1" applyAlignment="1">
      <alignment horizontal="center" vertical="center"/>
    </xf>
    <xf numFmtId="0" fontId="36" fillId="0" borderId="1" xfId="3" applyFont="1" applyFill="1" applyBorder="1" applyAlignment="1">
      <alignment horizontal="center" vertical="center"/>
    </xf>
    <xf numFmtId="0" fontId="36" fillId="0" borderId="11" xfId="3" applyFont="1" applyFill="1" applyBorder="1" applyAlignment="1">
      <alignment horizontal="center" vertical="center"/>
    </xf>
    <xf numFmtId="0" fontId="27" fillId="0" borderId="1" xfId="3" applyFont="1" applyFill="1" applyBorder="1" applyAlignment="1">
      <alignment horizontal="center" vertical="center" wrapText="1"/>
    </xf>
    <xf numFmtId="0" fontId="14" fillId="0" borderId="1" xfId="3" applyFont="1" applyFill="1" applyBorder="1" applyAlignment="1">
      <alignment horizontal="center" vertical="center" wrapText="1"/>
    </xf>
    <xf numFmtId="0" fontId="14" fillId="0" borderId="11" xfId="3" applyFont="1" applyFill="1" applyBorder="1" applyAlignment="1">
      <alignment horizontal="center" vertical="center" wrapText="1"/>
    </xf>
    <xf numFmtId="182" fontId="27" fillId="0" borderId="1" xfId="3" applyNumberFormat="1" applyFont="1" applyFill="1" applyBorder="1" applyAlignment="1">
      <alignment horizontal="center" vertical="center"/>
    </xf>
    <xf numFmtId="179" fontId="27" fillId="0" borderId="1" xfId="3" applyNumberFormat="1" applyFont="1" applyFill="1" applyBorder="1" applyAlignment="1">
      <alignment horizontal="center" vertical="center"/>
    </xf>
    <xf numFmtId="176" fontId="27" fillId="0" borderId="1" xfId="3" applyNumberFormat="1" applyFont="1" applyFill="1" applyBorder="1" applyAlignment="1">
      <alignment horizontal="center" vertical="center"/>
    </xf>
    <xf numFmtId="176" fontId="27" fillId="3" borderId="1" xfId="6" applyNumberFormat="1" applyFont="1" applyFill="1" applyBorder="1" applyAlignment="1" applyProtection="1">
      <alignment horizontal="center" vertical="center"/>
      <protection locked="0"/>
    </xf>
    <xf numFmtId="185" fontId="27" fillId="0" borderId="1" xfId="3" applyNumberFormat="1" applyFont="1" applyFill="1" applyBorder="1" applyAlignment="1">
      <alignment horizontal="center" vertical="center"/>
    </xf>
    <xf numFmtId="176" fontId="27" fillId="0" borderId="11" xfId="3" applyNumberFormat="1" applyFont="1" applyFill="1" applyBorder="1" applyAlignment="1">
      <alignment horizontal="center" vertical="center"/>
    </xf>
    <xf numFmtId="0" fontId="27" fillId="0" borderId="12" xfId="3" applyFont="1" applyFill="1" applyBorder="1" applyAlignment="1">
      <alignment horizontal="center" vertical="center"/>
    </xf>
    <xf numFmtId="0" fontId="27" fillId="0" borderId="5" xfId="3" applyFont="1" applyFill="1" applyBorder="1" applyAlignment="1">
      <alignment horizontal="center" vertical="center"/>
    </xf>
    <xf numFmtId="176" fontId="27" fillId="3" borderId="5" xfId="6" applyNumberFormat="1" applyFont="1" applyFill="1" applyBorder="1" applyAlignment="1" applyProtection="1">
      <alignment horizontal="center" vertical="center"/>
      <protection locked="0"/>
    </xf>
    <xf numFmtId="182" fontId="27" fillId="0" borderId="5" xfId="3" applyNumberFormat="1" applyFont="1" applyFill="1" applyBorder="1" applyAlignment="1">
      <alignment horizontal="center" vertical="center"/>
    </xf>
    <xf numFmtId="179" fontId="27" fillId="0" borderId="5" xfId="3" applyNumberFormat="1" applyFont="1" applyFill="1" applyBorder="1" applyAlignment="1">
      <alignment horizontal="center" vertical="center"/>
    </xf>
    <xf numFmtId="176" fontId="27" fillId="0" borderId="5" xfId="3" applyNumberFormat="1" applyFont="1" applyFill="1" applyBorder="1" applyAlignment="1">
      <alignment horizontal="center" vertical="center"/>
    </xf>
    <xf numFmtId="185" fontId="27" fillId="0" borderId="5" xfId="3" applyNumberFormat="1" applyFont="1" applyFill="1" applyBorder="1" applyAlignment="1">
      <alignment horizontal="center" vertical="center"/>
    </xf>
    <xf numFmtId="176" fontId="27" fillId="0" borderId="13" xfId="3" applyNumberFormat="1" applyFont="1" applyFill="1" applyBorder="1" applyAlignment="1">
      <alignment horizontal="center" vertical="center"/>
    </xf>
    <xf numFmtId="0" fontId="8" fillId="0" borderId="1" xfId="0" applyFont="1" applyBorder="1" applyAlignment="1">
      <alignment horizontal="center" vertical="center"/>
    </xf>
    <xf numFmtId="0" fontId="27" fillId="0" borderId="1" xfId="3" applyFont="1" applyBorder="1" applyAlignment="1">
      <alignment horizontal="center" vertical="center"/>
    </xf>
    <xf numFmtId="0" fontId="5" fillId="0" borderId="1" xfId="3" applyFont="1" applyBorder="1" applyAlignment="1">
      <alignment horizontal="center" vertical="center"/>
    </xf>
    <xf numFmtId="0" fontId="8" fillId="0" borderId="1" xfId="3" applyFont="1" applyBorder="1" applyAlignment="1">
      <alignment horizontal="center" vertical="center"/>
    </xf>
    <xf numFmtId="176" fontId="8" fillId="3" borderId="1" xfId="3" applyNumberFormat="1" applyFont="1" applyFill="1" applyBorder="1" applyAlignment="1" applyProtection="1">
      <alignment horizontal="center" vertical="center"/>
      <protection locked="0"/>
    </xf>
    <xf numFmtId="181" fontId="8" fillId="0" borderId="1" xfId="3" applyNumberFormat="1" applyFont="1" applyBorder="1" applyAlignment="1">
      <alignment horizontal="center" vertical="center"/>
    </xf>
    <xf numFmtId="0" fontId="27" fillId="0" borderId="1" xfId="3"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vertical="center"/>
    </xf>
    <xf numFmtId="2" fontId="27" fillId="0" borderId="1" xfId="3" applyNumberFormat="1" applyFont="1" applyFill="1" applyBorder="1" applyAlignment="1">
      <alignment horizontal="center" vertical="center"/>
    </xf>
    <xf numFmtId="0" fontId="27" fillId="0" borderId="1" xfId="0" applyFont="1" applyBorder="1" applyAlignment="1">
      <alignment horizontal="left" vertical="center"/>
    </xf>
    <xf numFmtId="0" fontId="27" fillId="0" borderId="1" xfId="3" applyFont="1" applyBorder="1" applyAlignment="1">
      <alignment horizontal="left" vertical="center"/>
    </xf>
    <xf numFmtId="178" fontId="8" fillId="3" borderId="1" xfId="3" applyNumberFormat="1" applyFont="1" applyFill="1" applyBorder="1" applyAlignment="1" applyProtection="1">
      <alignment horizontal="center" vertical="center"/>
      <protection locked="0"/>
    </xf>
    <xf numFmtId="0" fontId="56" fillId="6" borderId="1" xfId="0" applyFont="1" applyFill="1" applyBorder="1" applyAlignment="1">
      <alignment vertical="center"/>
    </xf>
    <xf numFmtId="0" fontId="38" fillId="0" borderId="1" xfId="0" applyFont="1" applyBorder="1" applyAlignment="1">
      <alignment vertical="center"/>
    </xf>
    <xf numFmtId="2" fontId="5" fillId="0" borderId="1" xfId="0" applyNumberFormat="1" applyFont="1" applyBorder="1" applyAlignment="1">
      <alignment vertical="center"/>
    </xf>
    <xf numFmtId="2" fontId="0" fillId="0" borderId="1" xfId="0" applyNumberFormat="1" applyBorder="1" applyAlignment="1">
      <alignment vertical="center"/>
    </xf>
    <xf numFmtId="49" fontId="0" fillId="0" borderId="1" xfId="0" applyNumberFormat="1" applyBorder="1" applyAlignment="1">
      <alignment horizontal="center" vertical="center"/>
    </xf>
    <xf numFmtId="186" fontId="12" fillId="0" borderId="1" xfId="0" applyNumberFormat="1" applyFont="1" applyBorder="1" applyAlignment="1">
      <alignment horizontal="center" vertical="center"/>
    </xf>
    <xf numFmtId="0" fontId="58" fillId="0" borderId="0" xfId="0" applyFont="1"/>
    <xf numFmtId="49" fontId="41" fillId="0" borderId="6" xfId="0" applyNumberFormat="1" applyFont="1" applyBorder="1" applyAlignment="1">
      <alignment horizontal="center" vertical="center"/>
    </xf>
    <xf numFmtId="0" fontId="0" fillId="0" borderId="17" xfId="0" applyBorder="1" applyAlignment="1">
      <alignment vertical="center"/>
    </xf>
    <xf numFmtId="0" fontId="41" fillId="0" borderId="17" xfId="0" applyFont="1" applyBorder="1" applyAlignment="1">
      <alignment vertical="center"/>
    </xf>
    <xf numFmtId="0" fontId="11" fillId="0" borderId="17" xfId="0" applyFont="1" applyBorder="1" applyAlignment="1">
      <alignment vertical="center"/>
    </xf>
    <xf numFmtId="176" fontId="41" fillId="0" borderId="17" xfId="0" applyNumberFormat="1" applyFont="1" applyBorder="1" applyAlignment="1">
      <alignment horizontal="center" vertical="center"/>
    </xf>
    <xf numFmtId="177" fontId="41" fillId="0" borderId="1" xfId="0" applyNumberFormat="1" applyFont="1" applyFill="1" applyBorder="1" applyAlignment="1">
      <alignment horizontal="center" vertical="center"/>
    </xf>
    <xf numFmtId="0" fontId="59" fillId="0" borderId="1" xfId="0" applyFont="1" applyBorder="1" applyAlignment="1">
      <alignment horizontal="right" vertical="center"/>
    </xf>
    <xf numFmtId="176" fontId="0" fillId="0" borderId="1" xfId="0" applyNumberFormat="1" applyBorder="1" applyAlignment="1">
      <alignment horizontal="center" vertical="center"/>
    </xf>
    <xf numFmtId="0" fontId="0" fillId="0" borderId="1" xfId="0" applyBorder="1" applyAlignment="1">
      <alignment horizontal="left" vertical="center"/>
    </xf>
    <xf numFmtId="176"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2" xfId="0" applyFill="1" applyBorder="1" applyAlignment="1">
      <alignment horizontal="center" vertical="center" wrapText="1"/>
    </xf>
    <xf numFmtId="0" fontId="0" fillId="6" borderId="1" xfId="0" applyFill="1" applyBorder="1" applyAlignment="1">
      <alignment horizontal="center" vertical="center"/>
    </xf>
    <xf numFmtId="176" fontId="0" fillId="6" borderId="1" xfId="0" applyNumberForma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xf>
    <xf numFmtId="0" fontId="0" fillId="5" borderId="1" xfId="0" applyFill="1" applyBorder="1" applyAlignment="1">
      <alignment horizontal="center"/>
    </xf>
    <xf numFmtId="0" fontId="5" fillId="0" borderId="1" xfId="6" applyFont="1" applyBorder="1" applyAlignment="1">
      <alignment horizontal="center" vertical="center"/>
    </xf>
    <xf numFmtId="180" fontId="18" fillId="12" borderId="1" xfId="6" applyNumberFormat="1" applyFont="1" applyFill="1" applyBorder="1" applyAlignment="1">
      <alignment horizontal="center" vertical="center"/>
    </xf>
    <xf numFmtId="0" fontId="56" fillId="0" borderId="1" xfId="0" applyFont="1" applyBorder="1" applyAlignment="1">
      <alignment vertical="center"/>
    </xf>
    <xf numFmtId="178" fontId="0" fillId="6" borderId="1" xfId="0" applyNumberFormat="1" applyFill="1" applyBorder="1" applyAlignment="1">
      <alignment horizontal="center" vertical="center"/>
    </xf>
    <xf numFmtId="0" fontId="0" fillId="0" borderId="1" xfId="0" applyBorder="1" applyAlignment="1">
      <alignment horizontal="left"/>
    </xf>
    <xf numFmtId="0" fontId="13" fillId="0" borderId="1" xfId="0" applyFont="1" applyBorder="1" applyAlignment="1">
      <alignment horizontal="left" vertical="center"/>
    </xf>
    <xf numFmtId="0" fontId="0" fillId="0" borderId="1" xfId="0" applyFill="1" applyBorder="1" applyAlignment="1">
      <alignment horizontal="left"/>
    </xf>
    <xf numFmtId="183" fontId="0" fillId="0" borderId="1" xfId="0" applyNumberFormat="1" applyBorder="1" applyAlignment="1">
      <alignment horizontal="center" vertical="center"/>
    </xf>
    <xf numFmtId="49" fontId="0" fillId="0" borderId="8" xfId="0" applyNumberFormat="1" applyBorder="1" applyAlignment="1">
      <alignment horizontal="center" vertical="center"/>
    </xf>
    <xf numFmtId="0" fontId="4" fillId="0" borderId="8" xfId="0" applyFont="1" applyBorder="1" applyAlignment="1">
      <alignment horizontal="center"/>
    </xf>
    <xf numFmtId="0" fontId="0" fillId="0" borderId="0" xfId="0" applyBorder="1" applyAlignment="1"/>
    <xf numFmtId="0" fontId="58" fillId="0" borderId="0" xfId="0" applyFont="1" applyAlignment="1">
      <alignment vertical="center" wrapText="1"/>
    </xf>
    <xf numFmtId="0" fontId="0" fillId="0" borderId="1" xfId="0" applyBorder="1" applyAlignment="1">
      <alignment horizont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0" fillId="11" borderId="1" xfId="0" applyFill="1" applyBorder="1" applyAlignment="1">
      <alignment horizontal="left" vertical="center"/>
    </xf>
    <xf numFmtId="49" fontId="0" fillId="0" borderId="0" xfId="0" applyNumberFormat="1" applyBorder="1" applyAlignment="1">
      <alignment horizontal="center" vertical="center"/>
    </xf>
    <xf numFmtId="0" fontId="5" fillId="0" borderId="0" xfId="0" applyFont="1" applyBorder="1" applyAlignment="1">
      <alignment horizontal="left" vertical="center"/>
    </xf>
    <xf numFmtId="0" fontId="39" fillId="6" borderId="1" xfId="0" applyFont="1" applyFill="1" applyBorder="1" applyAlignment="1">
      <alignment vertical="center"/>
    </xf>
    <xf numFmtId="187" fontId="26" fillId="3" borderId="1" xfId="3" applyNumberFormat="1" applyFont="1" applyFill="1" applyBorder="1" applyAlignment="1" applyProtection="1">
      <alignment horizontal="center" vertical="center"/>
      <protection locked="0"/>
    </xf>
    <xf numFmtId="0" fontId="0" fillId="11" borderId="1" xfId="0" applyFill="1" applyBorder="1" applyAlignment="1">
      <alignment vertical="center"/>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xf numFmtId="0" fontId="0" fillId="0" borderId="1" xfId="0" applyBorder="1" applyAlignment="1">
      <alignment horizontal="left" vertical="center"/>
    </xf>
    <xf numFmtId="0" fontId="0" fillId="0" borderId="1" xfId="0" applyBorder="1" applyAlignment="1">
      <alignment horizontal="center"/>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xf>
    <xf numFmtId="0" fontId="8" fillId="11" borderId="1" xfId="3" applyFont="1" applyFill="1" applyBorder="1" applyAlignment="1">
      <alignment vertical="center"/>
    </xf>
    <xf numFmtId="0" fontId="3" fillId="0" borderId="1" xfId="0" applyFont="1" applyBorder="1" applyAlignment="1">
      <alignment vertical="center"/>
    </xf>
    <xf numFmtId="0" fontId="48" fillId="0" borderId="1" xfId="0" applyFont="1" applyBorder="1" applyAlignment="1">
      <alignment horizontal="center" vertical="center"/>
    </xf>
    <xf numFmtId="0" fontId="67" fillId="0" borderId="1" xfId="0" applyFont="1" applyBorder="1" applyAlignment="1">
      <alignment horizontal="center" vertical="center"/>
    </xf>
    <xf numFmtId="176" fontId="48" fillId="0" borderId="1" xfId="0" applyNumberFormat="1" applyFont="1" applyFill="1" applyBorder="1" applyAlignment="1">
      <alignment horizontal="center" vertical="center"/>
    </xf>
    <xf numFmtId="0" fontId="48" fillId="0" borderId="1" xfId="0" applyFont="1" applyBorder="1" applyAlignment="1">
      <alignment horizontal="center" vertical="center" wrapText="1"/>
    </xf>
    <xf numFmtId="176" fontId="69" fillId="0" borderId="1" xfId="0" applyNumberFormat="1" applyFont="1" applyFill="1" applyBorder="1" applyAlignment="1">
      <alignment horizontal="center" vertical="center"/>
    </xf>
    <xf numFmtId="0" fontId="69" fillId="7" borderId="1" xfId="0" applyFont="1" applyFill="1" applyBorder="1" applyAlignment="1">
      <alignment horizontal="center" vertical="center" wrapText="1"/>
    </xf>
    <xf numFmtId="0" fontId="13" fillId="0" borderId="0" xfId="0" applyFont="1" applyBorder="1" applyAlignment="1">
      <alignment horizontal="left" vertical="center"/>
    </xf>
    <xf numFmtId="0" fontId="0" fillId="11" borderId="1" xfId="0" applyFill="1" applyBorder="1" applyAlignment="1">
      <alignment horizontal="center"/>
    </xf>
    <xf numFmtId="0" fontId="0" fillId="0" borderId="1" xfId="0" applyBorder="1" applyAlignment="1">
      <alignment horizontal="left"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xf>
    <xf numFmtId="2" fontId="0" fillId="0" borderId="1" xfId="0" applyNumberFormat="1" applyFill="1" applyBorder="1" applyAlignment="1">
      <alignment vertical="center"/>
    </xf>
    <xf numFmtId="178" fontId="0" fillId="5" borderId="1" xfId="0" applyNumberFormat="1" applyFill="1" applyBorder="1" applyAlignment="1">
      <alignment vertical="center"/>
    </xf>
    <xf numFmtId="176" fontId="69" fillId="6" borderId="1" xfId="0" applyNumberFormat="1" applyFon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0" fillId="11" borderId="1" xfId="0" applyFill="1" applyBorder="1" applyAlignment="1">
      <alignment horizontal="center"/>
    </xf>
    <xf numFmtId="0" fontId="0" fillId="11" borderId="1" xfId="0" applyFill="1" applyBorder="1" applyAlignment="1">
      <alignment horizontal="center" vertical="center"/>
    </xf>
    <xf numFmtId="0" fontId="0" fillId="6" borderId="1" xfId="0" applyFill="1" applyBorder="1" applyAlignment="1">
      <alignment horizontal="center"/>
    </xf>
    <xf numFmtId="0" fontId="66" fillId="0" borderId="22" xfId="0" applyFont="1" applyBorder="1" applyAlignment="1">
      <alignment horizontal="center" vertical="top" wrapText="1"/>
    </xf>
    <xf numFmtId="0" fontId="66" fillId="0" borderId="24" xfId="0" applyFont="1" applyBorder="1" applyAlignment="1">
      <alignment horizontal="center" vertical="top" wrapText="1"/>
    </xf>
    <xf numFmtId="0" fontId="72" fillId="0" borderId="22" xfId="0" applyFont="1" applyBorder="1" applyAlignment="1">
      <alignment horizontal="center" vertical="top" wrapText="1"/>
    </xf>
    <xf numFmtId="0" fontId="66" fillId="0" borderId="23" xfId="0" applyFont="1" applyBorder="1" applyAlignment="1">
      <alignment horizontal="center" vertical="top" wrapText="1"/>
    </xf>
    <xf numFmtId="0" fontId="72" fillId="0" borderId="24" xfId="0" applyFont="1" applyBorder="1" applyAlignment="1">
      <alignment horizontal="center" vertical="top" wrapText="1"/>
    </xf>
    <xf numFmtId="0" fontId="72" fillId="0" borderId="23" xfId="0" applyFont="1" applyBorder="1" applyAlignment="1">
      <alignment horizontal="center" vertical="top" wrapText="1"/>
    </xf>
    <xf numFmtId="0" fontId="66" fillId="0" borderId="25" xfId="0" applyFont="1" applyBorder="1" applyAlignment="1">
      <alignment horizontal="center" vertical="top" wrapText="1"/>
    </xf>
    <xf numFmtId="0" fontId="66" fillId="0" borderId="30" xfId="0" applyFont="1" applyBorder="1" applyAlignment="1">
      <alignment horizontal="center" vertical="top" wrapText="1"/>
    </xf>
    <xf numFmtId="0" fontId="72" fillId="0" borderId="33" xfId="0" applyFont="1" applyBorder="1" applyAlignment="1">
      <alignment vertical="top" wrapText="1"/>
    </xf>
    <xf numFmtId="0" fontId="66" fillId="0" borderId="28" xfId="0" applyFont="1" applyBorder="1" applyAlignment="1">
      <alignment horizontal="center" vertical="top" wrapText="1"/>
    </xf>
    <xf numFmtId="0" fontId="72" fillId="0" borderId="32" xfId="0" applyFont="1" applyBorder="1" applyAlignment="1">
      <alignment vertical="top" wrapText="1"/>
    </xf>
    <xf numFmtId="0" fontId="72" fillId="0" borderId="28" xfId="0" applyFont="1" applyBorder="1" applyAlignment="1">
      <alignment vertical="top" wrapText="1"/>
    </xf>
    <xf numFmtId="0" fontId="72" fillId="0" borderId="34" xfId="0" applyFont="1" applyBorder="1" applyAlignment="1">
      <alignment vertical="top" wrapText="1"/>
    </xf>
    <xf numFmtId="0" fontId="66" fillId="0" borderId="36" xfId="0" applyFont="1" applyBorder="1" applyAlignment="1">
      <alignment horizontal="center" vertical="top" wrapText="1"/>
    </xf>
    <xf numFmtId="0" fontId="72" fillId="0" borderId="37" xfId="0" applyFont="1" applyBorder="1" applyAlignment="1">
      <alignment vertical="top" wrapText="1"/>
    </xf>
    <xf numFmtId="0" fontId="72" fillId="0" borderId="30" xfId="0" applyFont="1" applyBorder="1" applyAlignment="1">
      <alignment vertical="top" wrapText="1"/>
    </xf>
    <xf numFmtId="0" fontId="72" fillId="0" borderId="38" xfId="0" applyFont="1" applyBorder="1" applyAlignment="1">
      <alignment vertical="top" wrapText="1"/>
    </xf>
    <xf numFmtId="0" fontId="72" fillId="0" borderId="39" xfId="0" applyFont="1" applyBorder="1" applyAlignment="1">
      <alignment horizontal="center" vertical="top" wrapText="1"/>
    </xf>
    <xf numFmtId="0" fontId="72" fillId="0" borderId="0" xfId="0" applyFont="1" applyBorder="1" applyAlignment="1">
      <alignment vertical="top" wrapText="1"/>
    </xf>
    <xf numFmtId="0" fontId="66" fillId="0" borderId="40" xfId="0" applyFont="1" applyBorder="1" applyAlignment="1">
      <alignment horizontal="center" vertical="top" wrapText="1"/>
    </xf>
    <xf numFmtId="0" fontId="72" fillId="0" borderId="41" xfId="0" applyFont="1" applyBorder="1" applyAlignment="1">
      <alignment vertical="top" wrapText="1"/>
    </xf>
    <xf numFmtId="0" fontId="2" fillId="0" borderId="1" xfId="0" applyFont="1" applyBorder="1" applyAlignment="1">
      <alignment horizontal="center" vertical="center"/>
    </xf>
    <xf numFmtId="176" fontId="0" fillId="0" borderId="1" xfId="0" applyNumberFormat="1" applyFont="1" applyBorder="1" applyAlignment="1">
      <alignment horizontal="center" vertical="center"/>
    </xf>
    <xf numFmtId="0" fontId="0" fillId="14" borderId="1" xfId="0" applyFill="1" applyBorder="1" applyAlignment="1">
      <alignment horizontal="center"/>
    </xf>
    <xf numFmtId="0" fontId="0" fillId="13" borderId="1" xfId="0" applyFill="1" applyBorder="1" applyAlignment="1">
      <alignment horizontal="center"/>
    </xf>
    <xf numFmtId="0" fontId="64" fillId="11" borderId="1" xfId="0" applyFont="1" applyFill="1" applyBorder="1" applyAlignment="1">
      <alignment horizontal="center"/>
    </xf>
    <xf numFmtId="176" fontId="0" fillId="12" borderId="1" xfId="0" applyNumberFormat="1" applyFill="1" applyBorder="1" applyAlignment="1">
      <alignment horizontal="center" vertical="center"/>
    </xf>
    <xf numFmtId="176" fontId="0" fillId="12" borderId="1" xfId="0" applyNumberFormat="1" applyFont="1" applyFill="1" applyBorder="1" applyAlignment="1">
      <alignment horizontal="center" vertical="center"/>
    </xf>
    <xf numFmtId="0" fontId="0" fillId="16" borderId="1" xfId="0" applyFill="1" applyBorder="1" applyAlignment="1">
      <alignment horizontal="center" vertical="center"/>
    </xf>
    <xf numFmtId="0" fontId="0" fillId="17" borderId="1" xfId="0" applyFill="1" applyBorder="1" applyAlignment="1">
      <alignment horizontal="center"/>
    </xf>
    <xf numFmtId="0" fontId="0" fillId="12" borderId="1" xfId="0" applyFill="1" applyBorder="1" applyAlignment="1">
      <alignment vertical="center"/>
    </xf>
    <xf numFmtId="0" fontId="0" fillId="15" borderId="0" xfId="0" applyFill="1" applyAlignment="1">
      <alignment horizontal="center"/>
    </xf>
    <xf numFmtId="0" fontId="0" fillId="0" borderId="9" xfId="0" applyBorder="1" applyAlignment="1"/>
    <xf numFmtId="0" fontId="0" fillId="6" borderId="0" xfId="0" applyFill="1" applyAlignment="1">
      <alignment horizontal="center"/>
    </xf>
    <xf numFmtId="0" fontId="0" fillId="6" borderId="31" xfId="0" applyFill="1" applyBorder="1" applyAlignment="1">
      <alignment horizontal="center" vertical="center"/>
    </xf>
    <xf numFmtId="0" fontId="0" fillId="11" borderId="31" xfId="0" applyFill="1" applyBorder="1" applyAlignment="1">
      <alignment horizontal="center"/>
    </xf>
    <xf numFmtId="0" fontId="0" fillId="5" borderId="38" xfId="0" applyFill="1" applyBorder="1" applyAlignment="1">
      <alignment horizontal="center"/>
    </xf>
    <xf numFmtId="0" fontId="0" fillId="6" borderId="35" xfId="0" applyFill="1" applyBorder="1" applyAlignment="1">
      <alignment horizontal="center" vertical="center"/>
    </xf>
    <xf numFmtId="0" fontId="66" fillId="0" borderId="26" xfId="0" applyFont="1" applyBorder="1" applyAlignment="1">
      <alignment horizontal="center" vertical="top" wrapText="1"/>
    </xf>
    <xf numFmtId="0" fontId="66" fillId="0" borderId="21" xfId="0" applyFont="1" applyBorder="1" applyAlignment="1">
      <alignment horizontal="center" vertical="top" wrapText="1"/>
    </xf>
    <xf numFmtId="0" fontId="66" fillId="0" borderId="20" xfId="0" applyFont="1" applyBorder="1" applyAlignment="1">
      <alignment horizontal="center" vertical="top" wrapText="1"/>
    </xf>
    <xf numFmtId="0" fontId="72" fillId="0" borderId="26" xfId="0" applyFont="1" applyBorder="1" applyAlignment="1">
      <alignment horizontal="center" vertical="top" wrapText="1"/>
    </xf>
    <xf numFmtId="0" fontId="72" fillId="0" borderId="20" xfId="0" applyFont="1" applyBorder="1" applyAlignment="1">
      <alignment horizontal="center" vertical="top" wrapText="1"/>
    </xf>
    <xf numFmtId="0" fontId="71" fillId="0" borderId="5" xfId="0" applyFont="1" applyBorder="1" applyAlignment="1">
      <alignment horizontal="center"/>
    </xf>
    <xf numFmtId="0" fontId="72" fillId="0" borderId="27" xfId="0" applyFont="1" applyBorder="1" applyAlignment="1">
      <alignment horizontal="center" vertical="top" wrapText="1"/>
    </xf>
    <xf numFmtId="0" fontId="72" fillId="0" borderId="23" xfId="0" applyFont="1" applyBorder="1" applyAlignment="1">
      <alignment horizontal="center" vertical="top" wrapText="1"/>
    </xf>
    <xf numFmtId="0" fontId="66" fillId="0" borderId="27" xfId="0" applyFont="1" applyBorder="1" applyAlignment="1">
      <alignment horizontal="center" vertical="top" wrapText="1"/>
    </xf>
    <xf numFmtId="0" fontId="66" fillId="0" borderId="23" xfId="0" applyFont="1" applyBorder="1" applyAlignment="1">
      <alignment horizontal="center" vertical="top" wrapText="1"/>
    </xf>
    <xf numFmtId="0" fontId="72" fillId="0" borderId="21" xfId="0" applyFont="1" applyBorder="1" applyAlignment="1">
      <alignment horizontal="center" vertical="top" wrapText="1"/>
    </xf>
    <xf numFmtId="0" fontId="72" fillId="0" borderId="29" xfId="0" applyFont="1" applyBorder="1" applyAlignment="1">
      <alignment horizontal="center" vertical="top" wrapText="1"/>
    </xf>
    <xf numFmtId="0" fontId="0" fillId="0" borderId="1" xfId="0" applyBorder="1" applyAlignment="1">
      <alignment horizontal="center"/>
    </xf>
    <xf numFmtId="176" fontId="0" fillId="0" borderId="1" xfId="0" applyNumberFormat="1" applyBorder="1" applyAlignment="1">
      <alignment horizontal="center" vertical="center"/>
    </xf>
    <xf numFmtId="0" fontId="0" fillId="0" borderId="1" xfId="0" applyBorder="1" applyAlignment="1">
      <alignment horizontal="left"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0" fillId="6" borderId="6" xfId="0" applyFill="1" applyBorder="1" applyAlignment="1">
      <alignment horizontal="center" vertical="center"/>
    </xf>
    <xf numFmtId="0" fontId="0" fillId="6" borderId="8" xfId="0" applyFill="1" applyBorder="1" applyAlignment="1">
      <alignment horizontal="center" vertical="center"/>
    </xf>
    <xf numFmtId="0" fontId="13" fillId="0" borderId="6" xfId="0" applyFont="1" applyBorder="1" applyAlignment="1">
      <alignment horizontal="left" vertical="center"/>
    </xf>
    <xf numFmtId="0" fontId="13" fillId="0" borderId="7" xfId="0" applyFont="1" applyBorder="1" applyAlignment="1">
      <alignment horizontal="left" vertical="center"/>
    </xf>
    <xf numFmtId="0" fontId="13" fillId="0" borderId="8" xfId="0" applyFont="1" applyBorder="1" applyAlignment="1">
      <alignment horizontal="left" vertical="center"/>
    </xf>
    <xf numFmtId="183" fontId="0" fillId="0" borderId="6" xfId="0" applyNumberFormat="1" applyBorder="1" applyAlignment="1">
      <alignment horizontal="center" vertical="center"/>
    </xf>
    <xf numFmtId="183" fontId="0" fillId="0" borderId="8" xfId="0" applyNumberFormat="1" applyBorder="1" applyAlignment="1">
      <alignment horizontal="center" vertical="center"/>
    </xf>
    <xf numFmtId="178" fontId="0" fillId="6" borderId="6" xfId="0" applyNumberFormat="1" applyFill="1" applyBorder="1" applyAlignment="1">
      <alignment horizontal="center" vertical="center"/>
    </xf>
    <xf numFmtId="178" fontId="0" fillId="6" borderId="8" xfId="0" applyNumberFormat="1" applyFill="1" applyBorder="1" applyAlignment="1">
      <alignment horizontal="center" vertical="center"/>
    </xf>
    <xf numFmtId="0" fontId="0" fillId="11" borderId="6" xfId="0" applyFill="1" applyBorder="1" applyAlignment="1">
      <alignment horizontal="center" vertical="center"/>
    </xf>
    <xf numFmtId="0" fontId="0" fillId="11" borderId="8" xfId="0" applyFill="1" applyBorder="1" applyAlignment="1">
      <alignment horizontal="center" vertical="center"/>
    </xf>
    <xf numFmtId="0" fontId="40" fillId="0" borderId="6" xfId="0" applyFont="1" applyBorder="1" applyAlignment="1">
      <alignment horizontal="left" vertical="center"/>
    </xf>
    <xf numFmtId="0" fontId="40" fillId="0" borderId="7" xfId="0" applyFont="1" applyBorder="1" applyAlignment="1">
      <alignment horizontal="left" vertical="center"/>
    </xf>
    <xf numFmtId="0" fontId="40" fillId="0" borderId="8" xfId="0" applyFont="1" applyBorder="1" applyAlignment="1">
      <alignment horizontal="left" vertical="center"/>
    </xf>
    <xf numFmtId="0" fontId="40" fillId="0" borderId="9" xfId="0" applyFont="1" applyBorder="1" applyAlignment="1">
      <alignment horizontal="left" vertical="center"/>
    </xf>
    <xf numFmtId="0" fontId="40" fillId="8" borderId="6" xfId="0" applyFont="1" applyFill="1" applyBorder="1" applyAlignment="1">
      <alignment horizontal="center" vertical="center"/>
    </xf>
    <xf numFmtId="0" fontId="40" fillId="8" borderId="7" xfId="0" applyFont="1" applyFill="1" applyBorder="1" applyAlignment="1">
      <alignment horizontal="center" vertical="center"/>
    </xf>
    <xf numFmtId="0" fontId="40" fillId="8" borderId="8" xfId="0" applyFont="1" applyFill="1" applyBorder="1" applyAlignment="1">
      <alignment horizontal="center" vertical="center"/>
    </xf>
    <xf numFmtId="0" fontId="40" fillId="8" borderId="6" xfId="0" applyFont="1" applyFill="1" applyBorder="1" applyAlignment="1">
      <alignment horizontal="left" vertical="center"/>
    </xf>
    <xf numFmtId="0" fontId="40" fillId="8" borderId="7" xfId="0" applyFont="1" applyFill="1" applyBorder="1" applyAlignment="1">
      <alignment horizontal="left" vertical="center"/>
    </xf>
    <xf numFmtId="0" fontId="40" fillId="8" borderId="8" xfId="0" applyFont="1" applyFill="1" applyBorder="1" applyAlignment="1">
      <alignment horizontal="left" vertical="center"/>
    </xf>
    <xf numFmtId="0" fontId="42" fillId="8" borderId="1" xfId="0" applyFont="1" applyFill="1" applyBorder="1" applyAlignment="1">
      <alignment horizontal="center" vertical="center"/>
    </xf>
    <xf numFmtId="0" fontId="58" fillId="0" borderId="0" xfId="0" applyFont="1" applyAlignment="1">
      <alignment horizontal="left" vertical="center" wrapText="1"/>
    </xf>
    <xf numFmtId="0" fontId="12" fillId="6" borderId="6" xfId="0" applyFont="1" applyFill="1" applyBorder="1" applyAlignment="1">
      <alignment horizontal="center" vertical="center"/>
    </xf>
    <xf numFmtId="0" fontId="12" fillId="6" borderId="7" xfId="0" applyFont="1" applyFill="1" applyBorder="1" applyAlignment="1">
      <alignment horizontal="center" vertical="center"/>
    </xf>
    <xf numFmtId="0" fontId="12" fillId="6" borderId="8" xfId="0" applyFont="1" applyFill="1" applyBorder="1" applyAlignment="1">
      <alignment horizontal="center" vertical="center"/>
    </xf>
    <xf numFmtId="0" fontId="39" fillId="6" borderId="19" xfId="0" applyFont="1" applyFill="1" applyBorder="1" applyAlignment="1">
      <alignment horizontal="left" vertical="center" wrapText="1"/>
    </xf>
    <xf numFmtId="0" fontId="39" fillId="6" borderId="18" xfId="0" applyFont="1" applyFill="1" applyBorder="1" applyAlignment="1">
      <alignment horizontal="left" vertical="center" wrapText="1"/>
    </xf>
    <xf numFmtId="0" fontId="52" fillId="10" borderId="15" xfId="6" applyFont="1" applyFill="1" applyBorder="1" applyAlignment="1">
      <alignment horizontal="center" vertical="center"/>
    </xf>
    <xf numFmtId="0" fontId="52" fillId="10" borderId="14" xfId="6" applyFont="1" applyFill="1" applyBorder="1" applyAlignment="1">
      <alignment horizontal="center" vertical="center"/>
    </xf>
    <xf numFmtId="0" fontId="52" fillId="10" borderId="16" xfId="6" applyFont="1" applyFill="1" applyBorder="1" applyAlignment="1">
      <alignment horizontal="center" vertical="center"/>
    </xf>
    <xf numFmtId="0" fontId="13" fillId="0" borderId="1" xfId="0" applyFont="1" applyBorder="1" applyAlignment="1">
      <alignment horizontal="left" vertical="center"/>
    </xf>
    <xf numFmtId="0" fontId="70" fillId="7" borderId="1" xfId="0" applyFont="1" applyFill="1" applyBorder="1" applyAlignment="1">
      <alignment horizontal="center" vertical="center"/>
    </xf>
    <xf numFmtId="0" fontId="70" fillId="7" borderId="6" xfId="0" applyFont="1" applyFill="1" applyBorder="1" applyAlignment="1">
      <alignment horizontal="center" vertical="center"/>
    </xf>
    <xf numFmtId="0" fontId="70" fillId="7" borderId="7" xfId="0" applyFont="1" applyFill="1" applyBorder="1" applyAlignment="1">
      <alignment horizontal="center" vertical="center"/>
    </xf>
    <xf numFmtId="0" fontId="70" fillId="7" borderId="8" xfId="0" applyFont="1" applyFill="1" applyBorder="1" applyAlignment="1">
      <alignment horizontal="center" vertical="center"/>
    </xf>
    <xf numFmtId="1" fontId="57" fillId="0" borderId="1" xfId="0" applyNumberFormat="1" applyFont="1" applyFill="1" applyBorder="1" applyAlignment="1">
      <alignment horizontal="center" vertical="center"/>
    </xf>
    <xf numFmtId="0" fontId="0" fillId="11" borderId="1" xfId="0" applyFill="1" applyBorder="1" applyAlignment="1">
      <alignment horizontal="center" vertical="center"/>
    </xf>
    <xf numFmtId="0" fontId="39" fillId="6" borderId="1" xfId="0" applyFont="1" applyFill="1" applyBorder="1" applyAlignment="1">
      <alignment horizontal="center" vertical="center" wrapText="1"/>
    </xf>
    <xf numFmtId="0" fontId="0" fillId="6" borderId="7"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xf>
    <xf numFmtId="0" fontId="0" fillId="0" borderId="0" xfId="0" applyBorder="1" applyAlignment="1">
      <alignment horizontal="center"/>
    </xf>
    <xf numFmtId="181" fontId="0" fillId="0" borderId="0" xfId="0" applyNumberFormat="1" applyBorder="1" applyAlignment="1">
      <alignment horizontal="center"/>
    </xf>
    <xf numFmtId="176" fontId="0" fillId="0" borderId="1" xfId="0" applyNumberFormat="1" applyFill="1" applyBorder="1" applyAlignment="1">
      <alignment horizontal="center" vertical="center"/>
    </xf>
    <xf numFmtId="0" fontId="0" fillId="0" borderId="0" xfId="0" applyBorder="1" applyAlignment="1">
      <alignment horizontal="center"/>
    </xf>
    <xf numFmtId="0" fontId="56" fillId="0" borderId="0"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left" vertical="center" wrapText="1"/>
    </xf>
    <xf numFmtId="9" fontId="0" fillId="0" borderId="1" xfId="0" applyNumberFormat="1" applyBorder="1" applyAlignment="1">
      <alignment horizontal="center" vertical="center"/>
    </xf>
    <xf numFmtId="0" fontId="2" fillId="0" borderId="1" xfId="0" applyFont="1" applyFill="1" applyBorder="1" applyAlignment="1">
      <alignment horizontal="center" vertical="center"/>
    </xf>
    <xf numFmtId="0" fontId="66" fillId="0" borderId="1" xfId="3" applyFont="1" applyBorder="1" applyAlignment="1" applyProtection="1">
      <alignment horizontal="center" vertical="center" wrapText="1"/>
    </xf>
    <xf numFmtId="176" fontId="0" fillId="0" borderId="1" xfId="0" applyNumberFormat="1" applyFont="1" applyFill="1" applyBorder="1" applyAlignment="1">
      <alignment horizontal="center" vertical="center"/>
    </xf>
    <xf numFmtId="177" fontId="0" fillId="6" borderId="1" xfId="0" applyNumberFormat="1" applyFont="1" applyFill="1" applyBorder="1" applyAlignment="1">
      <alignment horizontal="center" vertical="center"/>
    </xf>
    <xf numFmtId="176" fontId="0" fillId="6" borderId="1" xfId="0" applyNumberFormat="1" applyFont="1" applyFill="1" applyBorder="1" applyAlignment="1">
      <alignment horizontal="center" vertical="center"/>
    </xf>
    <xf numFmtId="0" fontId="2" fillId="0" borderId="1" xfId="0" applyFont="1" applyBorder="1" applyAlignment="1">
      <alignment vertical="center"/>
    </xf>
    <xf numFmtId="1" fontId="0" fillId="0" borderId="1" xfId="0" applyNumberFormat="1" applyFill="1" applyBorder="1" applyAlignment="1">
      <alignment horizontal="center" vertical="center"/>
    </xf>
    <xf numFmtId="0" fontId="0" fillId="0" borderId="0" xfId="0" applyBorder="1"/>
    <xf numFmtId="176" fontId="13" fillId="0" borderId="1" xfId="0" applyNumberFormat="1" applyFont="1" applyBorder="1" applyAlignment="1">
      <alignment horizontal="center" vertical="center"/>
    </xf>
    <xf numFmtId="0" fontId="0" fillId="0" borderId="0" xfId="0" applyBorder="1" applyAlignment="1">
      <alignment wrapText="1"/>
    </xf>
    <xf numFmtId="0" fontId="0" fillId="0" borderId="1" xfId="0" applyBorder="1" applyAlignment="1">
      <alignment horizontal="center" vertical="center" wrapText="1"/>
    </xf>
    <xf numFmtId="181" fontId="0" fillId="0" borderId="1" xfId="0" applyNumberFormat="1" applyFill="1" applyBorder="1" applyAlignment="1">
      <alignment horizontal="center" vertical="center"/>
    </xf>
    <xf numFmtId="0" fontId="2" fillId="0" borderId="1" xfId="0" applyFont="1" applyBorder="1" applyAlignment="1">
      <alignment horizontal="left"/>
    </xf>
    <xf numFmtId="0" fontId="2" fillId="0" borderId="1" xfId="0" applyFont="1" applyFill="1" applyBorder="1" applyAlignment="1">
      <alignment horizontal="left"/>
    </xf>
    <xf numFmtId="180"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xf>
    <xf numFmtId="0" fontId="0" fillId="0" borderId="1" xfId="0" applyFill="1" applyBorder="1"/>
    <xf numFmtId="0" fontId="0" fillId="0" borderId="6" xfId="0" applyFill="1" applyBorder="1" applyAlignment="1">
      <alignment horizontal="center" vertical="center"/>
    </xf>
    <xf numFmtId="0" fontId="0" fillId="0" borderId="8" xfId="0" applyFill="1" applyBorder="1" applyAlignment="1">
      <alignment horizontal="center" vertical="center"/>
    </xf>
    <xf numFmtId="183" fontId="0" fillId="0" borderId="1" xfId="0" applyNumberFormat="1" applyFill="1" applyBorder="1" applyAlignment="1">
      <alignment horizontal="center" vertical="center"/>
    </xf>
    <xf numFmtId="0" fontId="0" fillId="0" borderId="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xf numFmtId="0" fontId="66" fillId="0" borderId="1" xfId="0" applyFont="1" applyFill="1" applyBorder="1" applyAlignment="1">
      <alignment horizontal="left" vertical="center"/>
    </xf>
    <xf numFmtId="181" fontId="0" fillId="0" borderId="0" xfId="0" applyNumberFormat="1" applyFill="1" applyAlignment="1">
      <alignment horizontal="center"/>
    </xf>
    <xf numFmtId="176" fontId="8" fillId="0" borderId="1" xfId="3" applyNumberFormat="1" applyFont="1" applyFill="1" applyBorder="1" applyAlignment="1" applyProtection="1">
      <alignment horizontal="center" vertical="center"/>
      <protection locked="0"/>
    </xf>
    <xf numFmtId="181" fontId="8" fillId="0" borderId="1" xfId="3" applyNumberFormat="1" applyFont="1" applyFill="1" applyBorder="1" applyAlignment="1">
      <alignment horizontal="center" vertical="center"/>
    </xf>
    <xf numFmtId="0" fontId="4" fillId="0" borderId="0" xfId="0" applyFont="1" applyFill="1" applyBorder="1" applyAlignment="1">
      <alignment horizontal="center"/>
    </xf>
    <xf numFmtId="0" fontId="0" fillId="0" borderId="0" xfId="0" applyFill="1" applyBorder="1"/>
    <xf numFmtId="181" fontId="0" fillId="0" borderId="0" xfId="0" applyNumberFormat="1" applyFill="1" applyBorder="1" applyAlignment="1">
      <alignment horizontal="center"/>
    </xf>
    <xf numFmtId="49" fontId="0" fillId="0" borderId="0" xfId="0" applyNumberFormat="1" applyFill="1" applyBorder="1" applyAlignment="1">
      <alignment horizontal="center" vertical="center"/>
    </xf>
    <xf numFmtId="0" fontId="8" fillId="0" borderId="0" xfId="0" applyFont="1" applyFill="1" applyBorder="1" applyAlignment="1">
      <alignment horizontal="left" vertical="center"/>
    </xf>
    <xf numFmtId="176" fontId="8" fillId="0" borderId="0" xfId="3" applyNumberFormat="1" applyFont="1" applyFill="1" applyBorder="1" applyAlignment="1" applyProtection="1">
      <alignment horizontal="center" vertical="center"/>
      <protection locked="0"/>
    </xf>
    <xf numFmtId="181" fontId="8" fillId="0" borderId="0" xfId="3" applyNumberFormat="1" applyFont="1" applyFill="1" applyBorder="1" applyAlignment="1">
      <alignment horizontal="center" vertical="center"/>
    </xf>
    <xf numFmtId="0" fontId="66" fillId="0" borderId="1" xfId="0" applyFont="1" applyBorder="1" applyAlignment="1">
      <alignment horizontal="left" vertical="center"/>
    </xf>
    <xf numFmtId="0" fontId="0" fillId="0" borderId="1" xfId="0" applyFont="1" applyBorder="1" applyAlignment="1">
      <alignment horizontal="left" vertical="center"/>
    </xf>
    <xf numFmtId="181" fontId="12" fillId="0" borderId="1" xfId="0" applyNumberFormat="1" applyFont="1" applyFill="1" applyBorder="1" applyAlignment="1">
      <alignment horizontal="center" vertical="center"/>
    </xf>
    <xf numFmtId="181" fontId="26" fillId="0" borderId="1" xfId="3" applyNumberFormat="1" applyFont="1" applyFill="1" applyBorder="1" applyAlignment="1" applyProtection="1">
      <alignment horizontal="center" vertical="center"/>
      <protection locked="0"/>
    </xf>
    <xf numFmtId="181" fontId="0" fillId="0" borderId="1" xfId="0" applyNumberFormat="1" applyFill="1" applyBorder="1" applyAlignment="1">
      <alignment horizontal="center"/>
    </xf>
    <xf numFmtId="181" fontId="23" fillId="0" borderId="1" xfId="3" applyNumberFormat="1" applyFont="1" applyFill="1" applyBorder="1" applyAlignment="1">
      <alignment horizontal="center" vertical="center"/>
    </xf>
    <xf numFmtId="176" fontId="26" fillId="0" borderId="1" xfId="3" applyNumberFormat="1" applyFont="1" applyFill="1" applyBorder="1" applyAlignment="1" applyProtection="1">
      <alignment horizontal="center" vertical="center"/>
      <protection locked="0"/>
    </xf>
    <xf numFmtId="9" fontId="66" fillId="0" borderId="1" xfId="0" applyNumberFormat="1" applyFont="1" applyBorder="1" applyAlignment="1">
      <alignment horizontal="left" vertical="center"/>
    </xf>
    <xf numFmtId="9" fontId="0" fillId="0" borderId="1" xfId="0" applyNumberFormat="1" applyFont="1" applyBorder="1"/>
    <xf numFmtId="181" fontId="76" fillId="6" borderId="1" xfId="3" applyNumberFormat="1" applyFont="1" applyFill="1" applyBorder="1" applyAlignment="1" applyProtection="1">
      <alignment horizontal="center" vertical="center"/>
      <protection locked="0"/>
    </xf>
    <xf numFmtId="0" fontId="77" fillId="13" borderId="1" xfId="3" applyFont="1" applyFill="1" applyBorder="1" applyAlignment="1">
      <alignment horizontal="center" vertical="center"/>
    </xf>
    <xf numFmtId="0" fontId="77" fillId="5" borderId="1" xfId="3" applyFont="1" applyFill="1" applyBorder="1" applyAlignment="1">
      <alignment horizontal="center" vertical="center"/>
    </xf>
    <xf numFmtId="176" fontId="27" fillId="0" borderId="1" xfId="6" applyNumberFormat="1" applyFont="1" applyFill="1" applyBorder="1" applyAlignment="1" applyProtection="1">
      <alignment horizontal="center" vertical="center"/>
      <protection locked="0"/>
    </xf>
    <xf numFmtId="0" fontId="0" fillId="5" borderId="1" xfId="0" applyFill="1" applyBorder="1" applyAlignment="1">
      <alignment horizontal="center" vertical="center"/>
    </xf>
    <xf numFmtId="179" fontId="48" fillId="0" borderId="1" xfId="0" applyNumberFormat="1" applyFont="1" applyFill="1" applyBorder="1" applyAlignment="1">
      <alignment horizontal="center" vertical="center"/>
    </xf>
    <xf numFmtId="0" fontId="48" fillId="0" borderId="1" xfId="0" applyFont="1" applyFill="1" applyBorder="1" applyAlignment="1">
      <alignment horizontal="center" vertical="center"/>
    </xf>
    <xf numFmtId="184" fontId="48" fillId="0" borderId="1" xfId="0" applyNumberFormat="1" applyFont="1" applyFill="1" applyBorder="1" applyAlignment="1">
      <alignment horizontal="center" vertical="center"/>
    </xf>
    <xf numFmtId="177" fontId="0" fillId="0" borderId="1" xfId="0" applyNumberFormat="1" applyFill="1" applyBorder="1" applyAlignment="1">
      <alignment vertical="center"/>
    </xf>
  </cellXfs>
  <cellStyles count="11">
    <cellStyle name="常规" xfId="0" builtinId="0"/>
    <cellStyle name="常规 2" xfId="2"/>
    <cellStyle name="常规 2 2" xfId="5"/>
    <cellStyle name="常规 3" xfId="3"/>
    <cellStyle name="常规 3 2" xfId="6"/>
    <cellStyle name="常规 4" xfId="1"/>
    <cellStyle name="常规 4 2" xfId="7"/>
    <cellStyle name="常规 5" xfId="8"/>
    <cellStyle name="常规 5 2" xfId="9"/>
    <cellStyle name="常规 6" xfId="4"/>
    <cellStyle name="常规_01.烧结发电" xf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12</xdr:col>
      <xdr:colOff>97631</xdr:colOff>
      <xdr:row>50</xdr:row>
      <xdr:rowOff>162362</xdr:rowOff>
    </xdr:from>
    <xdr:to>
      <xdr:col>13</xdr:col>
      <xdr:colOff>994608</xdr:colOff>
      <xdr:row>58</xdr:row>
      <xdr:rowOff>16565</xdr:rowOff>
    </xdr:to>
    <xdr:pic>
      <xdr:nvPicPr>
        <xdr:cNvPr id="9" name="图片 8"/>
        <xdr:cNvPicPr>
          <a:picLocks noChangeAspect="1"/>
        </xdr:cNvPicPr>
      </xdr:nvPicPr>
      <xdr:blipFill>
        <a:blip xmlns:r="http://schemas.openxmlformats.org/officeDocument/2006/relationships" r:embed="rId1" cstate="print"/>
        <a:stretch>
          <a:fillRect/>
        </a:stretch>
      </xdr:blipFill>
      <xdr:spPr>
        <a:xfrm>
          <a:off x="15213392" y="8933645"/>
          <a:ext cx="3158129" cy="12539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180975</xdr:colOff>
      <xdr:row>2</xdr:row>
      <xdr:rowOff>28576</xdr:rowOff>
    </xdr:from>
    <xdr:to>
      <xdr:col>5</xdr:col>
      <xdr:colOff>1047750</xdr:colOff>
      <xdr:row>2</xdr:row>
      <xdr:rowOff>307182</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4219575" y="381001"/>
          <a:ext cx="866775" cy="278606"/>
        </a:xfrm>
        <a:prstGeom prst="rect">
          <a:avLst/>
        </a:prstGeom>
      </xdr:spPr>
    </xdr:pic>
    <xdr:clientData/>
  </xdr:twoCellAnchor>
  <xdr:twoCellAnchor editAs="oneCell">
    <xdr:from>
      <xdr:col>18</xdr:col>
      <xdr:colOff>9525</xdr:colOff>
      <xdr:row>0</xdr:row>
      <xdr:rowOff>9525</xdr:rowOff>
    </xdr:from>
    <xdr:to>
      <xdr:col>24</xdr:col>
      <xdr:colOff>123825</xdr:colOff>
      <xdr:row>13</xdr:row>
      <xdr:rowOff>57150</xdr:rowOff>
    </xdr:to>
    <xdr:pic>
      <xdr:nvPicPr>
        <xdr:cNvPr id="3" name="Picture 3" descr="NH(2QUK[OQ0}N[}G44@NM(B"/>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1783675" y="9525"/>
          <a:ext cx="4229100" cy="31337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18</xdr:col>
      <xdr:colOff>9525</xdr:colOff>
      <xdr:row>15</xdr:row>
      <xdr:rowOff>95250</xdr:rowOff>
    </xdr:from>
    <xdr:to>
      <xdr:col>23</xdr:col>
      <xdr:colOff>495300</xdr:colOff>
      <xdr:row>41</xdr:row>
      <xdr:rowOff>19050</xdr:rowOff>
    </xdr:to>
    <xdr:pic>
      <xdr:nvPicPr>
        <xdr:cNvPr id="4" name="Picture 2" descr="9YI}409P(IT3LB(3CI6O%H4"/>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21783675" y="3590925"/>
          <a:ext cx="3914775" cy="5915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14</xdr:col>
      <xdr:colOff>217934</xdr:colOff>
      <xdr:row>25</xdr:row>
      <xdr:rowOff>94724</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685800" y="171450"/>
          <a:ext cx="9133334" cy="4209524"/>
        </a:xfrm>
        <a:prstGeom prst="rect">
          <a:avLst/>
        </a:prstGeom>
      </xdr:spPr>
    </xdr:pic>
    <xdr:clientData/>
  </xdr:twoCellAnchor>
  <xdr:twoCellAnchor editAs="oneCell">
    <xdr:from>
      <xdr:col>1</xdr:col>
      <xdr:colOff>161924</xdr:colOff>
      <xdr:row>26</xdr:row>
      <xdr:rowOff>0</xdr:rowOff>
    </xdr:from>
    <xdr:to>
      <xdr:col>14</xdr:col>
      <xdr:colOff>132219</xdr:colOff>
      <xdr:row>61</xdr:row>
      <xdr:rowOff>123060</xdr:rowOff>
    </xdr:to>
    <xdr:pic>
      <xdr:nvPicPr>
        <xdr:cNvPr id="3" name="图片 2"/>
        <xdr:cNvPicPr>
          <a:picLocks noChangeAspect="1"/>
        </xdr:cNvPicPr>
      </xdr:nvPicPr>
      <xdr:blipFill>
        <a:blip xmlns:r="http://schemas.openxmlformats.org/officeDocument/2006/relationships" r:embed="rId2" cstate="print"/>
        <a:stretch>
          <a:fillRect/>
        </a:stretch>
      </xdr:blipFill>
      <xdr:spPr>
        <a:xfrm>
          <a:off x="847724" y="4457700"/>
          <a:ext cx="8885695" cy="6123810"/>
        </a:xfrm>
        <a:prstGeom prst="rect">
          <a:avLst/>
        </a:prstGeom>
      </xdr:spPr>
    </xdr:pic>
    <xdr:clientData/>
  </xdr:twoCellAnchor>
  <xdr:twoCellAnchor editAs="oneCell">
    <xdr:from>
      <xdr:col>1</xdr:col>
      <xdr:colOff>257175</xdr:colOff>
      <xdr:row>61</xdr:row>
      <xdr:rowOff>142875</xdr:rowOff>
    </xdr:from>
    <xdr:to>
      <xdr:col>15</xdr:col>
      <xdr:colOff>236928</xdr:colOff>
      <xdr:row>101</xdr:row>
      <xdr:rowOff>151542</xdr:rowOff>
    </xdr:to>
    <xdr:pic>
      <xdr:nvPicPr>
        <xdr:cNvPr id="4" name="图片 3"/>
        <xdr:cNvPicPr>
          <a:picLocks noChangeAspect="1"/>
        </xdr:cNvPicPr>
      </xdr:nvPicPr>
      <xdr:blipFill>
        <a:blip xmlns:r="http://schemas.openxmlformats.org/officeDocument/2006/relationships" r:embed="rId3" cstate="print"/>
        <a:stretch>
          <a:fillRect/>
        </a:stretch>
      </xdr:blipFill>
      <xdr:spPr>
        <a:xfrm>
          <a:off x="942975" y="10601325"/>
          <a:ext cx="9580953" cy="6866667"/>
        </a:xfrm>
        <a:prstGeom prst="rect">
          <a:avLst/>
        </a:prstGeom>
      </xdr:spPr>
    </xdr:pic>
    <xdr:clientData/>
  </xdr:twoCellAnchor>
  <xdr:twoCellAnchor editAs="oneCell">
    <xdr:from>
      <xdr:col>2</xdr:col>
      <xdr:colOff>0</xdr:colOff>
      <xdr:row>102</xdr:row>
      <xdr:rowOff>0</xdr:rowOff>
    </xdr:from>
    <xdr:to>
      <xdr:col>15</xdr:col>
      <xdr:colOff>256029</xdr:colOff>
      <xdr:row>138</xdr:row>
      <xdr:rowOff>27800</xdr:rowOff>
    </xdr:to>
    <xdr:pic>
      <xdr:nvPicPr>
        <xdr:cNvPr id="5" name="图片 4"/>
        <xdr:cNvPicPr>
          <a:picLocks noChangeAspect="1"/>
        </xdr:cNvPicPr>
      </xdr:nvPicPr>
      <xdr:blipFill>
        <a:blip xmlns:r="http://schemas.openxmlformats.org/officeDocument/2006/relationships" r:embed="rId4" cstate="print"/>
        <a:stretch>
          <a:fillRect/>
        </a:stretch>
      </xdr:blipFill>
      <xdr:spPr>
        <a:xfrm>
          <a:off x="1371600" y="17487900"/>
          <a:ext cx="9171429" cy="620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6041;&#26696;&#35745;&#31639;&#21450;&#30456;&#20851;&#26679;&#26412;/1&#12289;&#35745;&#31639;--tbo/&#29028;&#27668;&#21457;&#30005;&#35745;&#31639;--&#24120;&#35268;&#21442;&#2596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原则性热力系统--无高加"/>
      <sheetName val="Sheet1"/>
      <sheetName val="原则性热力系统"/>
      <sheetName val="气体平均定压体积比热容"/>
      <sheetName val="烟焓表"/>
      <sheetName val="常用数据查询"/>
    </sheetNames>
    <sheetDataSet>
      <sheetData sheetId="0">
        <row r="47">
          <cell r="X47">
            <v>272.5</v>
          </cell>
        </row>
        <row r="51">
          <cell r="D51">
            <v>50</v>
          </cell>
          <cell r="F51">
            <v>1.18</v>
          </cell>
        </row>
        <row r="55">
          <cell r="B55">
            <v>43.761837194026782</v>
          </cell>
          <cell r="G55">
            <v>8.9999999999999993E-3</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dimension ref="A1:G58"/>
  <sheetViews>
    <sheetView topLeftCell="A22" workbookViewId="0">
      <selection activeCell="C54" sqref="C54"/>
    </sheetView>
  </sheetViews>
  <sheetFormatPr defaultRowHeight="13.5"/>
  <cols>
    <col min="1" max="1" width="16.5" customWidth="1"/>
    <col min="2" max="2" width="20.75" customWidth="1"/>
    <col min="3" max="3" width="13.625" customWidth="1"/>
    <col min="4" max="4" width="13" customWidth="1"/>
    <col min="5" max="5" width="16.875" customWidth="1"/>
    <col min="6" max="6" width="16.625" customWidth="1"/>
    <col min="7" max="7" width="25.875" customWidth="1"/>
  </cols>
  <sheetData>
    <row r="1" spans="1:7" ht="27.75" thickBot="1">
      <c r="A1" s="383" t="s">
        <v>1478</v>
      </c>
      <c r="B1" s="383"/>
      <c r="C1" s="383"/>
      <c r="D1" s="383"/>
      <c r="E1" s="383"/>
      <c r="F1" s="383"/>
      <c r="G1" s="383"/>
    </row>
    <row r="2" spans="1:7" ht="15" thickBot="1">
      <c r="A2" s="340" t="s">
        <v>1479</v>
      </c>
      <c r="B2" s="343" t="s">
        <v>1480</v>
      </c>
      <c r="C2" s="343" t="s">
        <v>1481</v>
      </c>
      <c r="D2" s="343" t="s">
        <v>1482</v>
      </c>
      <c r="E2" s="386" t="s">
        <v>1483</v>
      </c>
      <c r="F2" s="387"/>
      <c r="G2" s="343" t="s">
        <v>1484</v>
      </c>
    </row>
    <row r="3" spans="1:7" ht="15" thickBot="1">
      <c r="A3" s="340" t="s">
        <v>1485</v>
      </c>
      <c r="B3" s="378" t="s">
        <v>1486</v>
      </c>
      <c r="C3" s="379"/>
      <c r="D3" s="379"/>
      <c r="E3" s="379"/>
      <c r="F3" s="379"/>
      <c r="G3" s="380"/>
    </row>
    <row r="4" spans="1:7" ht="16.5" thickBot="1">
      <c r="A4" s="342">
        <v>1</v>
      </c>
      <c r="B4" s="378" t="s">
        <v>1487</v>
      </c>
      <c r="C4" s="379"/>
      <c r="D4" s="379"/>
      <c r="E4" s="379"/>
      <c r="F4" s="379"/>
      <c r="G4" s="380"/>
    </row>
    <row r="5" spans="1:7" ht="16.5" thickBot="1">
      <c r="A5" s="340" t="s">
        <v>1579</v>
      </c>
      <c r="B5" s="343" t="s">
        <v>1488</v>
      </c>
      <c r="C5" s="381"/>
      <c r="D5" s="388"/>
      <c r="E5" s="388"/>
      <c r="F5" s="388"/>
      <c r="G5" s="382"/>
    </row>
    <row r="6" spans="1:7" ht="16.5" thickBot="1">
      <c r="A6" s="340" t="s">
        <v>1359</v>
      </c>
      <c r="B6" s="343" t="s">
        <v>1489</v>
      </c>
      <c r="C6" s="381"/>
      <c r="D6" s="388"/>
      <c r="E6" s="389"/>
      <c r="F6" s="389"/>
      <c r="G6" s="382"/>
    </row>
    <row r="7" spans="1:7" ht="28.5" customHeight="1" thickBot="1">
      <c r="A7" s="342">
        <v>2</v>
      </c>
      <c r="B7" s="378" t="s">
        <v>1490</v>
      </c>
      <c r="C7" s="379"/>
      <c r="D7" s="379"/>
      <c r="E7" s="347" t="s">
        <v>1149</v>
      </c>
      <c r="F7" s="349" t="s">
        <v>1585</v>
      </c>
      <c r="G7" s="345"/>
    </row>
    <row r="8" spans="1:7" ht="19.5" thickBot="1">
      <c r="A8" s="340" t="s">
        <v>1579</v>
      </c>
      <c r="B8" s="343" t="s">
        <v>1491</v>
      </c>
      <c r="C8" s="345" t="s">
        <v>1492</v>
      </c>
      <c r="D8" s="344" t="s">
        <v>244</v>
      </c>
      <c r="E8" s="350"/>
      <c r="F8" s="348"/>
      <c r="G8" s="345"/>
    </row>
    <row r="9" spans="1:7" ht="19.5" thickBot="1">
      <c r="A9" s="340" t="s">
        <v>1359</v>
      </c>
      <c r="B9" s="343" t="s">
        <v>1493</v>
      </c>
      <c r="C9" s="345" t="s">
        <v>1494</v>
      </c>
      <c r="D9" s="344" t="s">
        <v>244</v>
      </c>
      <c r="E9" s="350"/>
      <c r="F9" s="350"/>
      <c r="G9" s="345"/>
    </row>
    <row r="10" spans="1:7" ht="19.5" thickBot="1">
      <c r="A10" s="340" t="s">
        <v>1360</v>
      </c>
      <c r="B10" s="343" t="s">
        <v>1495</v>
      </c>
      <c r="C10" s="345" t="s">
        <v>1496</v>
      </c>
      <c r="D10" s="344" t="s">
        <v>244</v>
      </c>
      <c r="E10" s="350"/>
      <c r="F10" s="350"/>
      <c r="G10" s="345"/>
    </row>
    <row r="11" spans="1:7" ht="19.5" thickBot="1">
      <c r="A11" s="340" t="s">
        <v>1361</v>
      </c>
      <c r="B11" s="343" t="s">
        <v>1497</v>
      </c>
      <c r="C11" s="345" t="s">
        <v>1498</v>
      </c>
      <c r="D11" s="344" t="s">
        <v>244</v>
      </c>
      <c r="E11" s="350"/>
      <c r="F11" s="351"/>
      <c r="G11" s="345"/>
    </row>
    <row r="12" spans="1:7" ht="19.5" thickBot="1">
      <c r="A12" s="340" t="s">
        <v>1580</v>
      </c>
      <c r="B12" s="343" t="s">
        <v>1499</v>
      </c>
      <c r="C12" s="345" t="s">
        <v>1500</v>
      </c>
      <c r="D12" s="344" t="s">
        <v>244</v>
      </c>
      <c r="E12" s="350"/>
      <c r="F12" s="348"/>
      <c r="G12" s="345"/>
    </row>
    <row r="13" spans="1:7" ht="19.5" thickBot="1">
      <c r="A13" s="340" t="s">
        <v>1363</v>
      </c>
      <c r="B13" s="343" t="s">
        <v>1501</v>
      </c>
      <c r="C13" s="345" t="s">
        <v>1502</v>
      </c>
      <c r="D13" s="344" t="s">
        <v>244</v>
      </c>
      <c r="E13" s="351"/>
      <c r="F13" s="351"/>
      <c r="G13" s="345"/>
    </row>
    <row r="14" spans="1:7" ht="19.5" thickBot="1">
      <c r="A14" s="340" t="s">
        <v>1581</v>
      </c>
      <c r="B14" s="343" t="s">
        <v>1503</v>
      </c>
      <c r="C14" s="345" t="s">
        <v>1595</v>
      </c>
      <c r="D14" s="344" t="s">
        <v>244</v>
      </c>
      <c r="E14" s="351"/>
      <c r="F14" s="352"/>
      <c r="G14" s="345"/>
    </row>
    <row r="15" spans="1:7" ht="19.5" thickBot="1">
      <c r="A15" s="340" t="s">
        <v>1365</v>
      </c>
      <c r="B15" s="343" t="s">
        <v>1504</v>
      </c>
      <c r="C15" s="345" t="s">
        <v>1505</v>
      </c>
      <c r="D15" s="344" t="s">
        <v>244</v>
      </c>
      <c r="E15" s="356"/>
      <c r="F15" s="351"/>
      <c r="G15" s="345"/>
    </row>
    <row r="16" spans="1:7" ht="19.5" thickBot="1">
      <c r="A16" s="340" t="s">
        <v>1366</v>
      </c>
      <c r="B16" s="343" t="s">
        <v>1506</v>
      </c>
      <c r="C16" s="345" t="s">
        <v>1507</v>
      </c>
      <c r="D16" s="344" t="s">
        <v>244</v>
      </c>
      <c r="E16" s="355"/>
      <c r="F16" s="351"/>
      <c r="G16" s="345"/>
    </row>
    <row r="17" spans="1:7" ht="20.25" thickBot="1">
      <c r="A17" s="340" t="s">
        <v>1582</v>
      </c>
      <c r="B17" s="343" t="s">
        <v>1508</v>
      </c>
      <c r="C17" s="345" t="s">
        <v>1509</v>
      </c>
      <c r="D17" s="344" t="s">
        <v>1605</v>
      </c>
      <c r="E17" s="354"/>
      <c r="F17" s="351"/>
      <c r="G17" s="345"/>
    </row>
    <row r="18" spans="1:7" ht="16.5" thickBot="1">
      <c r="A18" s="342">
        <v>3</v>
      </c>
      <c r="B18" s="378" t="s">
        <v>1510</v>
      </c>
      <c r="C18" s="379"/>
      <c r="D18" s="380"/>
      <c r="E18" s="346" t="s">
        <v>1149</v>
      </c>
      <c r="F18" s="346" t="s">
        <v>1585</v>
      </c>
      <c r="G18" s="345"/>
    </row>
    <row r="19" spans="1:7" ht="16.5" thickBot="1">
      <c r="A19" s="340" t="s">
        <v>1579</v>
      </c>
      <c r="B19" s="343" t="s">
        <v>1511</v>
      </c>
      <c r="C19" s="345" t="s">
        <v>1512</v>
      </c>
      <c r="D19" s="341" t="s">
        <v>249</v>
      </c>
      <c r="E19" s="351"/>
      <c r="F19" s="354"/>
      <c r="G19" s="357"/>
    </row>
    <row r="20" spans="1:7" ht="16.5" thickBot="1">
      <c r="A20" s="340" t="s">
        <v>1359</v>
      </c>
      <c r="B20" s="343" t="s">
        <v>1513</v>
      </c>
      <c r="C20" s="345" t="s">
        <v>1514</v>
      </c>
      <c r="D20" s="341" t="s">
        <v>249</v>
      </c>
      <c r="E20" s="351"/>
      <c r="F20" s="354"/>
      <c r="G20" s="357"/>
    </row>
    <row r="21" spans="1:7" ht="16.5" thickBot="1">
      <c r="A21" s="340" t="s">
        <v>1360</v>
      </c>
      <c r="B21" s="343" t="s">
        <v>1515</v>
      </c>
      <c r="C21" s="345" t="s">
        <v>1516</v>
      </c>
      <c r="D21" s="359" t="s">
        <v>249</v>
      </c>
      <c r="E21" s="360"/>
      <c r="F21" s="354"/>
      <c r="G21" s="357"/>
    </row>
    <row r="22" spans="1:7" ht="16.5" thickBot="1">
      <c r="A22" s="340" t="s">
        <v>1361</v>
      </c>
      <c r="B22" s="343" t="s">
        <v>1517</v>
      </c>
      <c r="C22" s="345" t="s">
        <v>1518</v>
      </c>
      <c r="D22" s="359" t="s">
        <v>249</v>
      </c>
      <c r="E22" s="358"/>
      <c r="F22" s="351"/>
      <c r="G22" s="345"/>
    </row>
    <row r="23" spans="1:7" ht="16.5" thickBot="1">
      <c r="A23" s="342">
        <v>4</v>
      </c>
      <c r="B23" s="378" t="s">
        <v>1519</v>
      </c>
      <c r="C23" s="379"/>
      <c r="D23" s="380"/>
      <c r="E23" s="353" t="s">
        <v>1149</v>
      </c>
      <c r="F23" s="353" t="s">
        <v>1585</v>
      </c>
      <c r="G23" s="345"/>
    </row>
    <row r="24" spans="1:7" ht="19.5" thickBot="1">
      <c r="A24" s="340" t="s">
        <v>1579</v>
      </c>
      <c r="B24" s="343" t="s">
        <v>1520</v>
      </c>
      <c r="C24" s="343" t="s">
        <v>1521</v>
      </c>
      <c r="D24" s="345" t="s">
        <v>1522</v>
      </c>
      <c r="E24" s="381"/>
      <c r="F24" s="382"/>
      <c r="G24" s="345"/>
    </row>
    <row r="25" spans="1:7" ht="19.5" thickBot="1">
      <c r="A25" s="340" t="s">
        <v>1359</v>
      </c>
      <c r="B25" s="343" t="s">
        <v>1523</v>
      </c>
      <c r="C25" s="343" t="s">
        <v>1524</v>
      </c>
      <c r="D25" s="345" t="s">
        <v>1522</v>
      </c>
      <c r="E25" s="381"/>
      <c r="F25" s="382"/>
      <c r="G25" s="345"/>
    </row>
    <row r="26" spans="1:7" ht="15" thickBot="1">
      <c r="A26" s="340" t="s">
        <v>1525</v>
      </c>
      <c r="B26" s="378" t="s">
        <v>1526</v>
      </c>
      <c r="C26" s="379"/>
      <c r="D26" s="379"/>
      <c r="E26" s="379"/>
      <c r="F26" s="379"/>
      <c r="G26" s="380"/>
    </row>
    <row r="27" spans="1:7" ht="16.5" thickBot="1">
      <c r="A27" s="342">
        <v>1</v>
      </c>
      <c r="B27" s="343" t="s">
        <v>1527</v>
      </c>
      <c r="C27" s="345" t="s">
        <v>224</v>
      </c>
      <c r="D27" s="345" t="s">
        <v>223</v>
      </c>
      <c r="E27" s="381"/>
      <c r="F27" s="382"/>
      <c r="G27" s="345"/>
    </row>
    <row r="28" spans="1:7" ht="16.5" thickBot="1">
      <c r="A28" s="342">
        <v>2</v>
      </c>
      <c r="B28" s="343" t="s">
        <v>1528</v>
      </c>
      <c r="C28" s="345" t="s">
        <v>246</v>
      </c>
      <c r="D28" s="345" t="s">
        <v>247</v>
      </c>
      <c r="E28" s="381"/>
      <c r="F28" s="382"/>
      <c r="G28" s="345"/>
    </row>
    <row r="29" spans="1:7" ht="16.5" thickBot="1">
      <c r="A29" s="342">
        <v>3</v>
      </c>
      <c r="B29" s="343" t="s">
        <v>1529</v>
      </c>
      <c r="C29" s="345" t="s">
        <v>1530</v>
      </c>
      <c r="D29" s="343" t="s">
        <v>249</v>
      </c>
      <c r="E29" s="381"/>
      <c r="F29" s="382"/>
      <c r="G29" s="345"/>
    </row>
    <row r="30" spans="1:7" ht="19.5" thickBot="1">
      <c r="A30" s="342">
        <v>4</v>
      </c>
      <c r="B30" s="343" t="s">
        <v>1531</v>
      </c>
      <c r="C30" s="345" t="s">
        <v>1532</v>
      </c>
      <c r="D30" s="343" t="s">
        <v>249</v>
      </c>
      <c r="E30" s="381"/>
      <c r="F30" s="382"/>
      <c r="G30" s="345"/>
    </row>
    <row r="31" spans="1:7" ht="19.5" thickBot="1">
      <c r="A31" s="342">
        <v>5</v>
      </c>
      <c r="B31" s="343" t="s">
        <v>1533</v>
      </c>
      <c r="C31" s="345" t="s">
        <v>1534</v>
      </c>
      <c r="D31" s="343" t="s">
        <v>249</v>
      </c>
      <c r="E31" s="381"/>
      <c r="F31" s="382"/>
      <c r="G31" s="345"/>
    </row>
    <row r="32" spans="1:7" ht="16.5" thickBot="1">
      <c r="A32" s="342">
        <v>6</v>
      </c>
      <c r="B32" s="343" t="s">
        <v>1535</v>
      </c>
      <c r="C32" s="343" t="s">
        <v>243</v>
      </c>
      <c r="D32" s="345" t="s">
        <v>244</v>
      </c>
      <c r="E32" s="381"/>
      <c r="F32" s="382"/>
      <c r="G32" s="345"/>
    </row>
    <row r="33" spans="1:7" ht="15" thickBot="1">
      <c r="A33" s="340" t="s">
        <v>1536</v>
      </c>
      <c r="B33" s="378" t="s">
        <v>1537</v>
      </c>
      <c r="C33" s="379"/>
      <c r="D33" s="379"/>
      <c r="E33" s="379"/>
      <c r="F33" s="379"/>
      <c r="G33" s="380"/>
    </row>
    <row r="34" spans="1:7" ht="16.5" thickBot="1">
      <c r="A34" s="342">
        <v>1</v>
      </c>
      <c r="B34" s="378" t="s">
        <v>1538</v>
      </c>
      <c r="C34" s="379"/>
      <c r="D34" s="379"/>
      <c r="E34" s="379"/>
      <c r="F34" s="379"/>
      <c r="G34" s="380"/>
    </row>
    <row r="35" spans="1:7" ht="16.5" thickBot="1">
      <c r="A35" s="340" t="s">
        <v>1579</v>
      </c>
      <c r="B35" s="343" t="s">
        <v>1539</v>
      </c>
      <c r="C35" s="345" t="s">
        <v>1477</v>
      </c>
      <c r="D35" s="345" t="s">
        <v>1540</v>
      </c>
      <c r="E35" s="381"/>
      <c r="F35" s="382"/>
      <c r="G35" s="345"/>
    </row>
    <row r="36" spans="1:7" ht="16.5" thickBot="1">
      <c r="A36" s="340" t="s">
        <v>1359</v>
      </c>
      <c r="B36" s="343" t="s">
        <v>1541</v>
      </c>
      <c r="C36" s="345" t="s">
        <v>1530</v>
      </c>
      <c r="D36" s="343" t="s">
        <v>249</v>
      </c>
      <c r="E36" s="381"/>
      <c r="F36" s="382"/>
      <c r="G36" s="345"/>
    </row>
    <row r="37" spans="1:7" ht="16.5" thickBot="1">
      <c r="A37" s="340" t="s">
        <v>1360</v>
      </c>
      <c r="B37" s="343" t="s">
        <v>1542</v>
      </c>
      <c r="C37" s="343" t="s">
        <v>664</v>
      </c>
      <c r="D37" s="343" t="s">
        <v>664</v>
      </c>
      <c r="E37" s="381"/>
      <c r="F37" s="382"/>
      <c r="G37" s="345"/>
    </row>
    <row r="38" spans="1:7" ht="19.5" thickBot="1">
      <c r="A38" s="340" t="s">
        <v>1361</v>
      </c>
      <c r="B38" s="343" t="s">
        <v>1543</v>
      </c>
      <c r="C38" s="345" t="s">
        <v>1544</v>
      </c>
      <c r="D38" s="345" t="s">
        <v>1545</v>
      </c>
      <c r="E38" s="381"/>
      <c r="F38" s="382"/>
      <c r="G38" s="345"/>
    </row>
    <row r="39" spans="1:7" ht="19.5" thickBot="1">
      <c r="A39" s="340" t="s">
        <v>1580</v>
      </c>
      <c r="B39" s="343" t="s">
        <v>1546</v>
      </c>
      <c r="C39" s="345" t="s">
        <v>1547</v>
      </c>
      <c r="D39" s="345" t="s">
        <v>1545</v>
      </c>
      <c r="E39" s="381"/>
      <c r="F39" s="382"/>
      <c r="G39" s="345"/>
    </row>
    <row r="40" spans="1:7" ht="19.5" thickBot="1">
      <c r="A40" s="340" t="s">
        <v>1363</v>
      </c>
      <c r="B40" s="343" t="s">
        <v>1548</v>
      </c>
      <c r="C40" s="345" t="s">
        <v>1549</v>
      </c>
      <c r="D40" s="345" t="s">
        <v>1550</v>
      </c>
      <c r="E40" s="384"/>
      <c r="F40" s="385"/>
      <c r="G40" s="340" t="s">
        <v>1586</v>
      </c>
    </row>
    <row r="41" spans="1:7" ht="16.5" thickBot="1">
      <c r="A41" s="340" t="s">
        <v>1581</v>
      </c>
      <c r="B41" s="343" t="s">
        <v>1551</v>
      </c>
      <c r="C41" s="343" t="s">
        <v>1552</v>
      </c>
      <c r="D41" s="345" t="s">
        <v>244</v>
      </c>
      <c r="E41" s="381"/>
      <c r="F41" s="382"/>
      <c r="G41" s="345"/>
    </row>
    <row r="42" spans="1:7" ht="16.5" thickBot="1">
      <c r="A42" s="342">
        <v>2</v>
      </c>
      <c r="B42" s="378" t="s">
        <v>1553</v>
      </c>
      <c r="C42" s="379"/>
      <c r="D42" s="379"/>
      <c r="E42" s="379"/>
      <c r="F42" s="379"/>
      <c r="G42" s="380"/>
    </row>
    <row r="43" spans="1:7" ht="16.5" thickBot="1">
      <c r="A43" s="340" t="s">
        <v>1579</v>
      </c>
      <c r="B43" s="343" t="s">
        <v>1554</v>
      </c>
      <c r="C43" s="343" t="s">
        <v>664</v>
      </c>
      <c r="D43" s="343" t="s">
        <v>664</v>
      </c>
      <c r="E43" s="381"/>
      <c r="F43" s="382"/>
      <c r="G43" s="345"/>
    </row>
    <row r="44" spans="1:7" ht="16.5" thickBot="1">
      <c r="A44" s="340" t="s">
        <v>1359</v>
      </c>
      <c r="B44" s="343" t="s">
        <v>1555</v>
      </c>
      <c r="C44" s="343" t="s">
        <v>664</v>
      </c>
      <c r="D44" s="345" t="s">
        <v>1556</v>
      </c>
      <c r="E44" s="381"/>
      <c r="F44" s="382"/>
      <c r="G44" s="345"/>
    </row>
    <row r="45" spans="1:7" ht="19.5" thickBot="1">
      <c r="A45" s="340" t="s">
        <v>1360</v>
      </c>
      <c r="B45" s="343" t="s">
        <v>1557</v>
      </c>
      <c r="C45" s="343" t="s">
        <v>664</v>
      </c>
      <c r="D45" s="343" t="s">
        <v>1558</v>
      </c>
      <c r="E45" s="381"/>
      <c r="F45" s="382"/>
      <c r="G45" s="345"/>
    </row>
    <row r="46" spans="1:7" ht="19.5" thickBot="1">
      <c r="A46" s="340" t="s">
        <v>1583</v>
      </c>
      <c r="B46" s="343" t="s">
        <v>1559</v>
      </c>
      <c r="C46" s="343" t="s">
        <v>664</v>
      </c>
      <c r="D46" s="343" t="s">
        <v>1558</v>
      </c>
      <c r="E46" s="381"/>
      <c r="F46" s="382"/>
      <c r="G46" s="345"/>
    </row>
    <row r="47" spans="1:7" ht="15" thickBot="1">
      <c r="A47" s="340" t="s">
        <v>1560</v>
      </c>
      <c r="B47" s="378" t="s">
        <v>1561</v>
      </c>
      <c r="C47" s="379"/>
      <c r="D47" s="379"/>
      <c r="E47" s="379"/>
      <c r="F47" s="379"/>
      <c r="G47" s="380"/>
    </row>
    <row r="48" spans="1:7" ht="16.5" thickBot="1">
      <c r="A48" s="342">
        <v>1</v>
      </c>
      <c r="B48" s="378" t="s">
        <v>1562</v>
      </c>
      <c r="C48" s="379"/>
      <c r="D48" s="379"/>
      <c r="E48" s="379"/>
      <c r="F48" s="379"/>
      <c r="G48" s="380"/>
    </row>
    <row r="49" spans="1:7" ht="16.5" thickBot="1">
      <c r="A49" s="340" t="s">
        <v>1584</v>
      </c>
      <c r="B49" s="343" t="s">
        <v>1563</v>
      </c>
      <c r="C49" s="343" t="s">
        <v>664</v>
      </c>
      <c r="D49" s="343" t="s">
        <v>1564</v>
      </c>
      <c r="E49" s="381"/>
      <c r="F49" s="382"/>
      <c r="G49" s="345"/>
    </row>
    <row r="50" spans="1:7" ht="16.5" thickBot="1">
      <c r="A50" s="340" t="s">
        <v>1359</v>
      </c>
      <c r="B50" s="343" t="s">
        <v>1565</v>
      </c>
      <c r="C50" s="343" t="s">
        <v>664</v>
      </c>
      <c r="D50" s="345" t="s">
        <v>1566</v>
      </c>
      <c r="E50" s="381"/>
      <c r="F50" s="382"/>
      <c r="G50" s="343" t="s">
        <v>1567</v>
      </c>
    </row>
    <row r="51" spans="1:7" ht="17.25" customHeight="1" thickBot="1">
      <c r="A51" s="342">
        <v>2</v>
      </c>
      <c r="B51" s="343" t="s">
        <v>1568</v>
      </c>
      <c r="C51" s="343" t="s">
        <v>664</v>
      </c>
      <c r="D51" s="343" t="s">
        <v>664</v>
      </c>
      <c r="E51" s="381"/>
      <c r="F51" s="382"/>
      <c r="G51" s="345"/>
    </row>
    <row r="52" spans="1:7" ht="16.5" thickBot="1">
      <c r="A52" s="342">
        <v>3</v>
      </c>
      <c r="B52" s="378" t="s">
        <v>1569</v>
      </c>
      <c r="C52" s="379"/>
      <c r="D52" s="379"/>
      <c r="E52" s="379"/>
      <c r="F52" s="379"/>
      <c r="G52" s="380"/>
    </row>
    <row r="53" spans="1:7" ht="16.5" thickBot="1">
      <c r="A53" s="340" t="s">
        <v>1579</v>
      </c>
      <c r="B53" s="343" t="s">
        <v>1570</v>
      </c>
      <c r="C53" s="343" t="s">
        <v>664</v>
      </c>
      <c r="D53" s="345" t="s">
        <v>1571</v>
      </c>
      <c r="E53" s="381"/>
      <c r="F53" s="382"/>
      <c r="G53" s="345"/>
    </row>
    <row r="54" spans="1:7" ht="16.5" thickBot="1">
      <c r="A54" s="340" t="s">
        <v>1359</v>
      </c>
      <c r="B54" s="343" t="s">
        <v>1572</v>
      </c>
      <c r="C54" s="343" t="s">
        <v>664</v>
      </c>
      <c r="D54" s="345" t="s">
        <v>1573</v>
      </c>
      <c r="E54" s="381"/>
      <c r="F54" s="382"/>
      <c r="G54" s="345"/>
    </row>
    <row r="55" spans="1:7" ht="16.5" thickBot="1">
      <c r="A55" s="342">
        <v>4</v>
      </c>
      <c r="B55" s="378" t="s">
        <v>1574</v>
      </c>
      <c r="C55" s="379"/>
      <c r="D55" s="379"/>
      <c r="E55" s="379"/>
      <c r="F55" s="379"/>
      <c r="G55" s="380"/>
    </row>
    <row r="56" spans="1:7" ht="19.5" thickBot="1">
      <c r="A56" s="340" t="s">
        <v>1579</v>
      </c>
      <c r="B56" s="343" t="s">
        <v>1575</v>
      </c>
      <c r="C56" s="343" t="s">
        <v>664</v>
      </c>
      <c r="D56" s="345" t="s">
        <v>1576</v>
      </c>
      <c r="E56" s="381"/>
      <c r="F56" s="382"/>
      <c r="G56" s="345"/>
    </row>
    <row r="57" spans="1:7" ht="19.5" thickBot="1">
      <c r="A57" s="340" t="s">
        <v>1359</v>
      </c>
      <c r="B57" s="343" t="s">
        <v>1577</v>
      </c>
      <c r="C57" s="343" t="s">
        <v>664</v>
      </c>
      <c r="D57" s="345" t="s">
        <v>1576</v>
      </c>
      <c r="E57" s="381"/>
      <c r="F57" s="382"/>
      <c r="G57" s="345"/>
    </row>
    <row r="58" spans="1:7" ht="19.5" thickBot="1">
      <c r="A58" s="340" t="s">
        <v>1360</v>
      </c>
      <c r="B58" s="343" t="s">
        <v>1578</v>
      </c>
      <c r="C58" s="343" t="s">
        <v>664</v>
      </c>
      <c r="D58" s="345" t="s">
        <v>1576</v>
      </c>
      <c r="E58" s="381"/>
      <c r="F58" s="382"/>
      <c r="G58" s="345"/>
    </row>
  </sheetData>
  <mergeCells count="44">
    <mergeCell ref="B23:D23"/>
    <mergeCell ref="E24:F24"/>
    <mergeCell ref="E25:F25"/>
    <mergeCell ref="B18:D18"/>
    <mergeCell ref="E2:F2"/>
    <mergeCell ref="B3:G3"/>
    <mergeCell ref="B4:G4"/>
    <mergeCell ref="C5:G5"/>
    <mergeCell ref="C6:G6"/>
    <mergeCell ref="B7:D7"/>
    <mergeCell ref="E37:F37"/>
    <mergeCell ref="B26:G26"/>
    <mergeCell ref="E27:F27"/>
    <mergeCell ref="E28:F28"/>
    <mergeCell ref="E29:F29"/>
    <mergeCell ref="E30:F30"/>
    <mergeCell ref="E31:F31"/>
    <mergeCell ref="E32:F32"/>
    <mergeCell ref="B33:G33"/>
    <mergeCell ref="B34:G34"/>
    <mergeCell ref="E35:F35"/>
    <mergeCell ref="E36:F36"/>
    <mergeCell ref="B48:G48"/>
    <mergeCell ref="E38:F38"/>
    <mergeCell ref="E39:F39"/>
    <mergeCell ref="E40:F40"/>
    <mergeCell ref="E41:F41"/>
    <mergeCell ref="B42:G42"/>
    <mergeCell ref="B55:G55"/>
    <mergeCell ref="E56:F56"/>
    <mergeCell ref="E57:F57"/>
    <mergeCell ref="E58:F58"/>
    <mergeCell ref="A1:G1"/>
    <mergeCell ref="E49:F49"/>
    <mergeCell ref="E50:F50"/>
    <mergeCell ref="E51:F51"/>
    <mergeCell ref="B52:G52"/>
    <mergeCell ref="E53:F53"/>
    <mergeCell ref="E54:F54"/>
    <mergeCell ref="E43:F43"/>
    <mergeCell ref="E44:F44"/>
    <mergeCell ref="E45:F45"/>
    <mergeCell ref="E46:F46"/>
    <mergeCell ref="B47:G47"/>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
  <sheetViews>
    <sheetView topLeftCell="A139" workbookViewId="0">
      <selection activeCell="B128" sqref="B128"/>
    </sheetView>
  </sheetViews>
  <sheetFormatPr defaultRowHeight="13.5"/>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tabColor theme="3" tint="0.39997558519241921"/>
  </sheetPr>
  <dimension ref="A1:R168"/>
  <sheetViews>
    <sheetView topLeftCell="B1" workbookViewId="0">
      <selection activeCell="G19" sqref="G19"/>
    </sheetView>
  </sheetViews>
  <sheetFormatPr defaultRowHeight="16.5" customHeight="1"/>
  <cols>
    <col min="1" max="1" width="34" customWidth="1"/>
    <col min="3" max="3" width="39.125" customWidth="1"/>
    <col min="5" max="5" width="13" customWidth="1"/>
    <col min="6" max="6" width="73.5" bestFit="1" customWidth="1"/>
    <col min="7" max="7" width="15.5" style="7" customWidth="1"/>
    <col min="8" max="8" width="18.125" style="7" customWidth="1"/>
    <col min="9" max="9" width="28.125" customWidth="1"/>
    <col min="12" max="12" width="29.625" customWidth="1"/>
    <col min="13" max="13" width="28.375" customWidth="1"/>
    <col min="14" max="14" width="18.25" customWidth="1"/>
    <col min="15" max="15" width="43" customWidth="1"/>
    <col min="16" max="16" width="12.375" customWidth="1"/>
    <col min="17" max="17" width="14.5" customWidth="1"/>
    <col min="18" max="18" width="12" customWidth="1"/>
  </cols>
  <sheetData>
    <row r="1" spans="1:18" ht="16.5" customHeight="1">
      <c r="B1" s="9" t="s">
        <v>27</v>
      </c>
      <c r="C1" s="9" t="s">
        <v>1138</v>
      </c>
      <c r="D1" s="6"/>
      <c r="E1" s="6"/>
      <c r="F1" s="6"/>
      <c r="G1" s="11"/>
      <c r="H1" s="11"/>
    </row>
    <row r="2" spans="1:18" ht="16.5" customHeight="1">
      <c r="B2" s="390" t="s">
        <v>28</v>
      </c>
      <c r="C2" s="394" t="s">
        <v>0</v>
      </c>
      <c r="D2" s="394" t="s">
        <v>1</v>
      </c>
      <c r="E2" s="394" t="s">
        <v>2</v>
      </c>
      <c r="F2" s="394" t="s">
        <v>41</v>
      </c>
      <c r="G2" s="391" t="s">
        <v>3</v>
      </c>
      <c r="H2" s="391"/>
      <c r="L2" s="336" t="s">
        <v>1631</v>
      </c>
      <c r="M2" s="336" t="s">
        <v>1633</v>
      </c>
      <c r="N2" s="336" t="s">
        <v>1634</v>
      </c>
      <c r="O2" s="336" t="s">
        <v>1635</v>
      </c>
      <c r="P2" s="336" t="s">
        <v>1636</v>
      </c>
      <c r="Q2" s="336" t="s">
        <v>1637</v>
      </c>
    </row>
    <row r="3" spans="1:18" ht="30.75" customHeight="1">
      <c r="B3" s="390"/>
      <c r="C3" s="394"/>
      <c r="D3" s="394"/>
      <c r="E3" s="394"/>
      <c r="F3" s="394"/>
      <c r="G3" s="269" t="s">
        <v>1139</v>
      </c>
      <c r="H3" s="269" t="s">
        <v>1140</v>
      </c>
      <c r="L3" s="336" t="s">
        <v>1632</v>
      </c>
      <c r="M3" s="336" t="s">
        <v>1638</v>
      </c>
      <c r="N3" s="336" t="s">
        <v>1639</v>
      </c>
      <c r="O3" s="307" t="s">
        <v>1659</v>
      </c>
      <c r="P3" s="115">
        <f>G14-(30-G10)*193.4</f>
        <v>10710.771999999999</v>
      </c>
      <c r="Q3" s="115">
        <f>H14-(40-H10)*193.4</f>
        <v>9482.8236680000009</v>
      </c>
    </row>
    <row r="4" spans="1:18" ht="16.5" customHeight="1">
      <c r="A4" s="329" t="s">
        <v>1587</v>
      </c>
      <c r="B4" s="8" t="s">
        <v>29</v>
      </c>
      <c r="C4" s="3" t="s">
        <v>4</v>
      </c>
      <c r="D4" s="2" t="s">
        <v>11</v>
      </c>
      <c r="E4" s="2" t="s">
        <v>18</v>
      </c>
      <c r="F4" s="361" t="s">
        <v>1588</v>
      </c>
      <c r="G4" s="366">
        <v>33.700000000000003</v>
      </c>
      <c r="H4" s="366">
        <v>38.840000000000003</v>
      </c>
      <c r="L4" s="437"/>
      <c r="M4" s="437"/>
      <c r="N4" s="437"/>
      <c r="O4" s="437"/>
    </row>
    <row r="5" spans="1:18" ht="16.5" customHeight="1">
      <c r="A5" s="329" t="s">
        <v>1587</v>
      </c>
      <c r="B5" s="8" t="s">
        <v>30</v>
      </c>
      <c r="C5" s="3" t="s">
        <v>5</v>
      </c>
      <c r="D5" s="2" t="s">
        <v>12</v>
      </c>
      <c r="E5" s="2" t="s">
        <v>18</v>
      </c>
      <c r="F5" s="361" t="s">
        <v>1598</v>
      </c>
      <c r="G5" s="366">
        <v>4.16</v>
      </c>
      <c r="H5" s="366">
        <v>4.28</v>
      </c>
    </row>
    <row r="6" spans="1:18" ht="16.5" customHeight="1">
      <c r="A6" s="329" t="s">
        <v>1587</v>
      </c>
      <c r="B6" s="8" t="s">
        <v>31</v>
      </c>
      <c r="C6" s="3" t="s">
        <v>6</v>
      </c>
      <c r="D6" s="2" t="s">
        <v>13</v>
      </c>
      <c r="E6" s="2" t="s">
        <v>18</v>
      </c>
      <c r="F6" s="361" t="s">
        <v>1588</v>
      </c>
      <c r="G6" s="366">
        <v>31.29</v>
      </c>
      <c r="H6" s="366">
        <v>36.299999999999997</v>
      </c>
    </row>
    <row r="7" spans="1:18" ht="16.5" customHeight="1">
      <c r="A7" s="329" t="s">
        <v>1587</v>
      </c>
      <c r="B7" s="8" t="s">
        <v>32</v>
      </c>
      <c r="C7" s="3" t="s">
        <v>7</v>
      </c>
      <c r="D7" s="2" t="s">
        <v>14</v>
      </c>
      <c r="E7" s="2" t="s">
        <v>18</v>
      </c>
      <c r="F7" s="361" t="s">
        <v>1598</v>
      </c>
      <c r="G7" s="366">
        <v>0.96</v>
      </c>
      <c r="H7" s="366">
        <v>0.47</v>
      </c>
    </row>
    <row r="8" spans="1:18" ht="16.5" customHeight="1">
      <c r="A8" s="329" t="s">
        <v>1587</v>
      </c>
      <c r="B8" s="8" t="s">
        <v>33</v>
      </c>
      <c r="C8" s="3" t="s">
        <v>8</v>
      </c>
      <c r="D8" s="2" t="s">
        <v>15</v>
      </c>
      <c r="E8" s="2" t="s">
        <v>18</v>
      </c>
      <c r="F8" s="361" t="s">
        <v>1588</v>
      </c>
      <c r="G8" s="366">
        <v>0.1</v>
      </c>
      <c r="H8" s="366">
        <v>0.05</v>
      </c>
    </row>
    <row r="9" spans="1:18" ht="16.5" customHeight="1">
      <c r="A9" s="329" t="s">
        <v>1587</v>
      </c>
      <c r="B9" s="8" t="s">
        <v>34</v>
      </c>
      <c r="C9" s="3" t="s">
        <v>9</v>
      </c>
      <c r="D9" s="336" t="s">
        <v>16</v>
      </c>
      <c r="E9" s="2" t="s">
        <v>18</v>
      </c>
      <c r="F9" s="361" t="s">
        <v>1600</v>
      </c>
      <c r="G9" s="366">
        <v>5.89</v>
      </c>
      <c r="H9" s="366">
        <v>2.76</v>
      </c>
    </row>
    <row r="10" spans="1:18" ht="16.5" customHeight="1">
      <c r="A10" s="329" t="s">
        <v>1587</v>
      </c>
      <c r="B10" s="8" t="s">
        <v>35</v>
      </c>
      <c r="C10" s="325" t="s">
        <v>1604</v>
      </c>
      <c r="D10" s="278" t="s">
        <v>17</v>
      </c>
      <c r="E10" s="2" t="s">
        <v>18</v>
      </c>
      <c r="F10" s="361" t="s">
        <v>1601</v>
      </c>
      <c r="G10" s="274">
        <v>23.9</v>
      </c>
      <c r="H10" s="274">
        <v>17.3</v>
      </c>
      <c r="I10" s="4"/>
    </row>
    <row r="11" spans="1:18" ht="16.5" customHeight="1">
      <c r="A11" s="329" t="s">
        <v>1589</v>
      </c>
      <c r="B11" s="8" t="s">
        <v>36</v>
      </c>
      <c r="C11" s="3" t="s">
        <v>23</v>
      </c>
      <c r="D11" s="2">
        <v>100</v>
      </c>
      <c r="E11" s="327" t="s">
        <v>18</v>
      </c>
      <c r="F11" s="361" t="s">
        <v>1602</v>
      </c>
      <c r="G11" s="362">
        <f>SUM(G4:G10)</f>
        <v>100</v>
      </c>
      <c r="H11" s="362">
        <f>SUM(H4:H10)</f>
        <v>100</v>
      </c>
      <c r="I11" s="7"/>
    </row>
    <row r="12" spans="1:18" ht="16.5" customHeight="1">
      <c r="A12" s="329" t="s">
        <v>1597</v>
      </c>
      <c r="B12" s="326" t="s">
        <v>1590</v>
      </c>
      <c r="C12" s="325" t="s">
        <v>1594</v>
      </c>
      <c r="D12" s="327" t="s">
        <v>1596</v>
      </c>
      <c r="E12" s="327" t="s">
        <v>1476</v>
      </c>
      <c r="F12" s="361" t="s">
        <v>1598</v>
      </c>
      <c r="G12" s="362">
        <v>55.87</v>
      </c>
      <c r="H12" s="362">
        <v>65.17</v>
      </c>
      <c r="I12" s="7"/>
    </row>
    <row r="13" spans="1:18" ht="16.5" customHeight="1">
      <c r="A13" s="284" t="s">
        <v>1143</v>
      </c>
      <c r="B13" s="326" t="s">
        <v>1591</v>
      </c>
      <c r="C13" s="268" t="s">
        <v>1136</v>
      </c>
      <c r="D13" s="270" t="s">
        <v>1135</v>
      </c>
      <c r="E13" s="270" t="s">
        <v>18</v>
      </c>
      <c r="F13" s="361" t="s">
        <v>1603</v>
      </c>
      <c r="G13" s="367">
        <f>G12/(G11-G10-G9)*100</f>
        <v>79.575559037174187</v>
      </c>
      <c r="H13" s="367">
        <f>H12/(H11-H10-H9)*100</f>
        <v>81.523642732049041</v>
      </c>
      <c r="I13" s="7"/>
    </row>
    <row r="14" spans="1:18" ht="16.5" customHeight="1">
      <c r="A14" s="329" t="s">
        <v>1587</v>
      </c>
      <c r="B14" s="393" t="s">
        <v>1592</v>
      </c>
      <c r="C14" s="392" t="s">
        <v>10</v>
      </c>
      <c r="D14" s="336" t="s">
        <v>19</v>
      </c>
      <c r="E14" s="336" t="s">
        <v>20</v>
      </c>
      <c r="F14" s="361" t="s">
        <v>1599</v>
      </c>
      <c r="G14" s="274">
        <f>4.1868*G15</f>
        <v>11890.511999999999</v>
      </c>
      <c r="H14" s="274">
        <f>4.1868*H15</f>
        <v>13873.003668000001</v>
      </c>
    </row>
    <row r="15" spans="1:18" ht="16.5" customHeight="1">
      <c r="A15" s="284" t="s">
        <v>1143</v>
      </c>
      <c r="B15" s="393"/>
      <c r="C15" s="392"/>
      <c r="D15" s="2" t="s">
        <v>19</v>
      </c>
      <c r="E15" s="2" t="s">
        <v>22</v>
      </c>
      <c r="F15" s="270" t="s">
        <v>42</v>
      </c>
      <c r="G15" s="366">
        <v>2840</v>
      </c>
      <c r="H15" s="366">
        <v>3313.51</v>
      </c>
      <c r="L15" s="390" t="s">
        <v>1658</v>
      </c>
      <c r="M15" s="390"/>
      <c r="N15" s="390"/>
      <c r="O15" s="390"/>
      <c r="P15" s="437"/>
      <c r="Q15" s="437"/>
      <c r="R15" s="437"/>
    </row>
    <row r="16" spans="1:18" ht="16.5" customHeight="1">
      <c r="A16" s="324" t="s">
        <v>1610</v>
      </c>
      <c r="B16" s="326" t="s">
        <v>1137</v>
      </c>
      <c r="C16" s="3" t="s">
        <v>24</v>
      </c>
      <c r="D16" s="282" t="s">
        <v>19</v>
      </c>
      <c r="E16" s="2" t="s">
        <v>20</v>
      </c>
      <c r="F16" s="271" t="s">
        <v>21</v>
      </c>
      <c r="G16" s="439">
        <f>339*G4+1030*G5-109*(G6-G8)-25*G10</f>
        <v>11711.890000000003</v>
      </c>
      <c r="H16" s="439">
        <f>339*H4+1030*H5-109*(H6-H8)-25*H10</f>
        <v>13191.410000000003</v>
      </c>
      <c r="I16" s="272"/>
      <c r="L16" s="443" t="s">
        <v>1643</v>
      </c>
      <c r="M16" s="443"/>
      <c r="N16" s="443"/>
      <c r="O16" s="443"/>
      <c r="P16" s="437"/>
      <c r="Q16" s="437"/>
      <c r="R16" s="437"/>
    </row>
    <row r="17" spans="1:18" ht="16.5" customHeight="1">
      <c r="A17" s="365" t="s">
        <v>1611</v>
      </c>
      <c r="B17" s="326" t="s">
        <v>1593</v>
      </c>
      <c r="C17" s="10" t="s">
        <v>25</v>
      </c>
      <c r="D17" s="5" t="s">
        <v>26</v>
      </c>
      <c r="E17" s="2" t="s">
        <v>20</v>
      </c>
      <c r="F17" s="271" t="s">
        <v>43</v>
      </c>
      <c r="G17" s="13">
        <f>339*G4+1256*G5-109*(G6-G8)</f>
        <v>13249.550000000003</v>
      </c>
      <c r="H17" s="13">
        <f>339*H4+1256*H5-109*(H6-H8)</f>
        <v>14591.190000000002</v>
      </c>
      <c r="L17" s="443"/>
      <c r="M17" s="443"/>
      <c r="N17" s="443"/>
      <c r="O17" s="443"/>
      <c r="P17" s="437"/>
      <c r="Q17" s="438"/>
      <c r="R17" s="438"/>
    </row>
    <row r="18" spans="1:18" ht="16.5" customHeight="1">
      <c r="B18" s="9" t="s">
        <v>40</v>
      </c>
      <c r="C18" s="9" t="s">
        <v>89</v>
      </c>
      <c r="D18" s="6"/>
      <c r="E18" s="6"/>
      <c r="F18" s="6"/>
      <c r="G18" s="11"/>
      <c r="H18" s="11"/>
    </row>
    <row r="19" spans="1:18" s="1" customFormat="1" ht="16.5" customHeight="1">
      <c r="A19" s="368" t="s">
        <v>1606</v>
      </c>
      <c r="B19" s="8" t="s">
        <v>29</v>
      </c>
      <c r="C19" s="10" t="s">
        <v>1144</v>
      </c>
      <c r="D19" s="5" t="s">
        <v>44</v>
      </c>
      <c r="E19" s="5" t="s">
        <v>45</v>
      </c>
      <c r="F19" s="5" t="s">
        <v>47</v>
      </c>
      <c r="G19" s="274">
        <v>130</v>
      </c>
      <c r="H19" s="274">
        <v>130</v>
      </c>
    </row>
    <row r="20" spans="1:18" ht="16.5" customHeight="1">
      <c r="A20" s="369" t="s">
        <v>1608</v>
      </c>
      <c r="B20" s="8" t="s">
        <v>30</v>
      </c>
      <c r="C20" s="10" t="s">
        <v>58</v>
      </c>
      <c r="D20" s="5" t="s">
        <v>59</v>
      </c>
      <c r="E20" s="5" t="s">
        <v>60</v>
      </c>
      <c r="F20" s="5" t="s">
        <v>47</v>
      </c>
      <c r="G20" s="274">
        <v>9.81</v>
      </c>
      <c r="H20" s="274">
        <v>9.81</v>
      </c>
      <c r="L20" s="394" t="s">
        <v>1644</v>
      </c>
      <c r="M20" s="442" t="s">
        <v>1642</v>
      </c>
      <c r="N20" s="442"/>
      <c r="O20" s="440"/>
      <c r="P20" s="440"/>
    </row>
    <row r="21" spans="1:18" ht="16.5" customHeight="1">
      <c r="A21" s="369" t="s">
        <v>1608</v>
      </c>
      <c r="B21" s="8" t="s">
        <v>31</v>
      </c>
      <c r="C21" s="10" t="s">
        <v>61</v>
      </c>
      <c r="D21" s="5" t="s">
        <v>62</v>
      </c>
      <c r="E21" s="5" t="s">
        <v>63</v>
      </c>
      <c r="F21" s="5" t="s">
        <v>47</v>
      </c>
      <c r="G21" s="274">
        <v>540</v>
      </c>
      <c r="H21" s="274">
        <v>540</v>
      </c>
      <c r="L21" s="394"/>
      <c r="M21" s="334" t="s">
        <v>1640</v>
      </c>
      <c r="N21" s="334" t="s">
        <v>1641</v>
      </c>
      <c r="O21" s="437"/>
      <c r="P21" s="437"/>
    </row>
    <row r="22" spans="1:18" ht="16.5" customHeight="1">
      <c r="A22" s="363" t="s">
        <v>1155</v>
      </c>
      <c r="B22" s="8" t="s">
        <v>32</v>
      </c>
      <c r="C22" s="10" t="s">
        <v>68</v>
      </c>
      <c r="D22" s="5" t="s">
        <v>70</v>
      </c>
      <c r="E22" s="5" t="s">
        <v>71</v>
      </c>
      <c r="F22" s="5" t="s">
        <v>1142</v>
      </c>
      <c r="G22" s="12">
        <f>H_PT(锅炉计算!$G$20,锅炉计算!$G$21)</f>
        <v>3478.8467598628904</v>
      </c>
      <c r="H22" s="267">
        <f>H_PT(锅炉计算!$G$20,锅炉计算!$G$21)</f>
        <v>3478.8467598628904</v>
      </c>
      <c r="L22" s="334" t="s">
        <v>1647</v>
      </c>
      <c r="M22" s="283">
        <v>9.81</v>
      </c>
      <c r="N22" s="283">
        <v>540</v>
      </c>
      <c r="O22" s="437"/>
      <c r="P22" s="437"/>
    </row>
    <row r="23" spans="1:18" ht="16.5" customHeight="1">
      <c r="A23" s="284" t="s">
        <v>1143</v>
      </c>
      <c r="B23" s="8" t="s">
        <v>33</v>
      </c>
      <c r="C23" s="10" t="s">
        <v>64</v>
      </c>
      <c r="D23" s="5" t="s">
        <v>44</v>
      </c>
      <c r="E23" s="5" t="s">
        <v>60</v>
      </c>
      <c r="F23" s="5" t="s">
        <v>74</v>
      </c>
      <c r="G23" s="12">
        <f>G20*1.1</f>
        <v>10.791000000000002</v>
      </c>
      <c r="H23" s="267">
        <f>H20*1.1</f>
        <v>10.791000000000002</v>
      </c>
      <c r="L23" s="334" t="s">
        <v>1648</v>
      </c>
      <c r="M23" s="283">
        <v>5.3</v>
      </c>
      <c r="N23" s="283">
        <v>485</v>
      </c>
      <c r="O23" s="437"/>
      <c r="P23" s="437"/>
    </row>
    <row r="24" spans="1:18" ht="16.5" customHeight="1">
      <c r="A24" s="363" t="s">
        <v>1609</v>
      </c>
      <c r="B24" s="8" t="s">
        <v>34</v>
      </c>
      <c r="C24" s="10" t="s">
        <v>1124</v>
      </c>
      <c r="D24" s="5" t="s">
        <v>73</v>
      </c>
      <c r="E24" s="5" t="s">
        <v>71</v>
      </c>
      <c r="F24" s="5" t="s">
        <v>72</v>
      </c>
      <c r="G24" s="12">
        <f>HL_P(锅炉计算!$G$23)</f>
        <v>1441.540613366803</v>
      </c>
      <c r="H24" s="267">
        <f>HL_P(锅炉计算!$G$23)</f>
        <v>1441.540613366803</v>
      </c>
      <c r="L24" s="334" t="s">
        <v>1649</v>
      </c>
      <c r="M24" s="283">
        <v>3.82</v>
      </c>
      <c r="N24" s="283">
        <v>450</v>
      </c>
      <c r="O24" s="437"/>
      <c r="P24" s="437"/>
    </row>
    <row r="25" spans="1:18" ht="16.5" customHeight="1">
      <c r="A25" s="368" t="s">
        <v>1606</v>
      </c>
      <c r="B25" s="8" t="s">
        <v>35</v>
      </c>
      <c r="C25" s="10" t="s">
        <v>65</v>
      </c>
      <c r="D25" s="5" t="s">
        <v>75</v>
      </c>
      <c r="E25" s="5" t="s">
        <v>63</v>
      </c>
      <c r="F25" s="5" t="s">
        <v>47</v>
      </c>
      <c r="G25" s="274">
        <v>215</v>
      </c>
      <c r="H25" s="274">
        <v>215</v>
      </c>
      <c r="L25" s="441"/>
      <c r="M25" s="441"/>
      <c r="N25" s="441"/>
      <c r="O25" s="441"/>
      <c r="P25" s="441"/>
    </row>
    <row r="26" spans="1:18" ht="16.5" customHeight="1">
      <c r="A26" s="363" t="s">
        <v>1609</v>
      </c>
      <c r="B26" s="8" t="s">
        <v>36</v>
      </c>
      <c r="C26" s="10" t="s">
        <v>81</v>
      </c>
      <c r="D26" s="5" t="s">
        <v>82</v>
      </c>
      <c r="E26" s="5" t="s">
        <v>71</v>
      </c>
      <c r="F26" s="5" t="s">
        <v>72</v>
      </c>
      <c r="G26" s="12">
        <f>H_PT(锅炉计算!$G$23,锅炉计算!$G$25)</f>
        <v>923.45517956615311</v>
      </c>
      <c r="H26" s="267">
        <f>H_PT(锅炉计算!$G$23,锅炉计算!$G$25)</f>
        <v>923.45517956615311</v>
      </c>
      <c r="L26" s="336"/>
      <c r="M26" s="394" t="s">
        <v>1654</v>
      </c>
      <c r="N26" s="394"/>
    </row>
    <row r="27" spans="1:18" ht="16.5" customHeight="1">
      <c r="A27" s="369" t="s">
        <v>1612</v>
      </c>
      <c r="B27" s="8" t="s">
        <v>37</v>
      </c>
      <c r="C27" s="10" t="s">
        <v>66</v>
      </c>
      <c r="D27" s="5" t="s">
        <v>1346</v>
      </c>
      <c r="E27" s="5" t="s">
        <v>76</v>
      </c>
      <c r="F27" s="445" t="s">
        <v>1667</v>
      </c>
      <c r="G27" s="448">
        <v>0.9</v>
      </c>
      <c r="H27" s="448">
        <v>0.9</v>
      </c>
      <c r="L27" s="5" t="s">
        <v>1645</v>
      </c>
      <c r="M27" s="336" t="s">
        <v>1652</v>
      </c>
      <c r="N27" s="336" t="s">
        <v>1653</v>
      </c>
    </row>
    <row r="28" spans="1:18" ht="16.5" customHeight="1">
      <c r="A28" s="369" t="s">
        <v>1612</v>
      </c>
      <c r="B28" s="8" t="s">
        <v>38</v>
      </c>
      <c r="C28" s="10" t="s">
        <v>67</v>
      </c>
      <c r="D28" s="5" t="s">
        <v>77</v>
      </c>
      <c r="E28" s="5" t="s">
        <v>76</v>
      </c>
      <c r="F28" s="5" t="s">
        <v>1668</v>
      </c>
      <c r="G28" s="449">
        <v>0.01</v>
      </c>
      <c r="H28" s="449">
        <v>0.01</v>
      </c>
      <c r="L28" s="5" t="s">
        <v>1646</v>
      </c>
      <c r="M28" s="336">
        <v>215</v>
      </c>
      <c r="N28" s="336" t="s">
        <v>1655</v>
      </c>
    </row>
    <row r="29" spans="1:18" ht="16.5" customHeight="1">
      <c r="A29" s="369" t="s">
        <v>1607</v>
      </c>
      <c r="B29" s="8" t="s">
        <v>39</v>
      </c>
      <c r="C29" s="10" t="s">
        <v>69</v>
      </c>
      <c r="D29" s="5" t="s">
        <v>83</v>
      </c>
      <c r="E29" s="5" t="s">
        <v>76</v>
      </c>
      <c r="F29" s="5" t="s">
        <v>1145</v>
      </c>
      <c r="G29" s="447">
        <v>0.02</v>
      </c>
      <c r="H29" s="447">
        <v>0.02</v>
      </c>
      <c r="L29" s="5" t="s">
        <v>1650</v>
      </c>
      <c r="M29" s="336">
        <v>158</v>
      </c>
      <c r="N29" s="336" t="s">
        <v>1657</v>
      </c>
    </row>
    <row r="30" spans="1:18" ht="16.5" customHeight="1">
      <c r="A30" s="324" t="s">
        <v>1610</v>
      </c>
      <c r="B30" s="8" t="s">
        <v>48</v>
      </c>
      <c r="C30" s="10" t="s">
        <v>78</v>
      </c>
      <c r="D30" s="5" t="s">
        <v>79</v>
      </c>
      <c r="E30" s="5" t="s">
        <v>80</v>
      </c>
      <c r="F30" s="5" t="s">
        <v>1146</v>
      </c>
      <c r="G30" s="18">
        <f>G19*1000/G27*((G22-G26)+G29*(G24-G26))/G14</f>
        <v>31168.448289457603</v>
      </c>
      <c r="H30" s="18">
        <f>H19*1000/H27*((H22-H26)+H29*(H24-H26))/H14</f>
        <v>26714.388410495088</v>
      </c>
      <c r="I30" s="4" t="s">
        <v>88</v>
      </c>
      <c r="L30" s="5" t="s">
        <v>1651</v>
      </c>
      <c r="M30" s="336">
        <v>150</v>
      </c>
      <c r="N30" s="336" t="s">
        <v>1656</v>
      </c>
    </row>
    <row r="31" spans="1:18" ht="16.5" customHeight="1">
      <c r="A31" s="324" t="s">
        <v>1610</v>
      </c>
      <c r="B31" s="8" t="s">
        <v>49</v>
      </c>
      <c r="C31" s="10" t="s">
        <v>84</v>
      </c>
      <c r="D31" s="5" t="s">
        <v>85</v>
      </c>
      <c r="E31" s="5" t="s">
        <v>80</v>
      </c>
      <c r="F31" s="5" t="s">
        <v>86</v>
      </c>
      <c r="G31" s="18">
        <f>G30*(1-G28)</f>
        <v>30856.763806563027</v>
      </c>
      <c r="H31" s="18">
        <f>H30*(1-H28)</f>
        <v>26447.244526390139</v>
      </c>
      <c r="I31" s="4" t="s">
        <v>87</v>
      </c>
    </row>
    <row r="32" spans="1:18" ht="16.5" customHeight="1">
      <c r="B32" s="9" t="s">
        <v>90</v>
      </c>
      <c r="C32" s="9" t="s">
        <v>91</v>
      </c>
      <c r="D32" s="6"/>
      <c r="E32" s="6"/>
      <c r="F32" s="6"/>
      <c r="G32" s="11"/>
      <c r="H32" s="11"/>
      <c r="L32" s="5" t="s">
        <v>1660</v>
      </c>
      <c r="M32" s="336" t="s">
        <v>1661</v>
      </c>
    </row>
    <row r="33" spans="1:14" ht="16.5" customHeight="1">
      <c r="A33" s="324" t="s">
        <v>1610</v>
      </c>
      <c r="B33" s="8" t="s">
        <v>93</v>
      </c>
      <c r="C33" s="10" t="s">
        <v>92</v>
      </c>
      <c r="D33" s="5" t="s">
        <v>94</v>
      </c>
      <c r="E33" s="5" t="s">
        <v>80</v>
      </c>
      <c r="F33" s="5" t="s">
        <v>1670</v>
      </c>
      <c r="G33" s="12">
        <f>G30*(G9/100+G14*G28/3387000)</f>
        <v>1836.9158138989114</v>
      </c>
      <c r="H33" s="267">
        <f>H30*(H9/100+H14*H28/3387000)</f>
        <v>738.41132977952327</v>
      </c>
      <c r="L33" s="5" t="s">
        <v>1662</v>
      </c>
      <c r="M33" s="336">
        <v>90</v>
      </c>
    </row>
    <row r="34" spans="1:14" ht="16.5" customHeight="1">
      <c r="A34" s="364" t="s">
        <v>1613</v>
      </c>
      <c r="B34" s="19" t="s">
        <v>30</v>
      </c>
      <c r="C34" s="119" t="s">
        <v>653</v>
      </c>
      <c r="D34" s="124" t="s">
        <v>1147</v>
      </c>
      <c r="E34" s="125" t="s">
        <v>1148</v>
      </c>
      <c r="F34" s="446" t="s">
        <v>1669</v>
      </c>
      <c r="G34" s="126">
        <f>脱硫脱硝系统!G29</f>
        <v>185.4529218596868</v>
      </c>
      <c r="H34" s="126">
        <f>脱硫脱硝系统!H37</f>
        <v>0</v>
      </c>
      <c r="L34" s="5" t="s">
        <v>1663</v>
      </c>
      <c r="M34" s="336">
        <v>89</v>
      </c>
    </row>
    <row r="35" spans="1:14" ht="16.5" customHeight="1">
      <c r="A35" s="369" t="s">
        <v>1612</v>
      </c>
      <c r="B35" s="19" t="s">
        <v>31</v>
      </c>
      <c r="C35" s="10" t="s">
        <v>95</v>
      </c>
      <c r="D35" s="5" t="s">
        <v>1672</v>
      </c>
      <c r="E35" s="5"/>
      <c r="F35" s="445" t="s">
        <v>1152</v>
      </c>
      <c r="G35" s="449">
        <v>0.9</v>
      </c>
      <c r="H35" s="449">
        <v>0.9</v>
      </c>
      <c r="L35" s="5" t="s">
        <v>1664</v>
      </c>
      <c r="M35" s="336">
        <v>86</v>
      </c>
    </row>
    <row r="36" spans="1:14" ht="16.5" customHeight="1">
      <c r="A36" s="369" t="s">
        <v>1612</v>
      </c>
      <c r="B36" s="19" t="s">
        <v>32</v>
      </c>
      <c r="C36" s="10" t="s">
        <v>96</v>
      </c>
      <c r="D36" s="5" t="s">
        <v>1674</v>
      </c>
      <c r="E36" s="5"/>
      <c r="F36" s="5" t="s">
        <v>97</v>
      </c>
      <c r="G36" s="449">
        <f>1-G35</f>
        <v>9.9999999999999978E-2</v>
      </c>
      <c r="H36" s="449">
        <f>1-H35</f>
        <v>9.9999999999999978E-2</v>
      </c>
      <c r="L36" s="5" t="s">
        <v>1665</v>
      </c>
      <c r="M36" s="336">
        <v>87</v>
      </c>
    </row>
    <row r="37" spans="1:14" ht="16.5" customHeight="1">
      <c r="A37" s="324" t="s">
        <v>1610</v>
      </c>
      <c r="B37" s="19" t="s">
        <v>33</v>
      </c>
      <c r="C37" s="10" t="s">
        <v>98</v>
      </c>
      <c r="D37" s="5" t="s">
        <v>100</v>
      </c>
      <c r="E37" s="5" t="s">
        <v>45</v>
      </c>
      <c r="F37" s="5" t="s">
        <v>101</v>
      </c>
      <c r="G37" s="18">
        <f>(G33+G34)*G35/1000</f>
        <v>1.8201318621827383</v>
      </c>
      <c r="H37" s="18">
        <f>(H33+H34)*H35/1000</f>
        <v>0.66457019680157103</v>
      </c>
    </row>
    <row r="38" spans="1:14" ht="16.5" customHeight="1">
      <c r="A38" s="324" t="s">
        <v>1610</v>
      </c>
      <c r="B38" s="19" t="s">
        <v>34</v>
      </c>
      <c r="C38" s="10" t="s">
        <v>99</v>
      </c>
      <c r="D38" s="5" t="s">
        <v>710</v>
      </c>
      <c r="E38" s="5" t="s">
        <v>45</v>
      </c>
      <c r="F38" s="5" t="s">
        <v>102</v>
      </c>
      <c r="G38" s="18">
        <f>(G33+G34)*G36/1000</f>
        <v>0.20223687357585976</v>
      </c>
      <c r="H38" s="18">
        <f>(H33+H34)*H36/1000</f>
        <v>7.3841132977952306E-2</v>
      </c>
      <c r="L38" s="5" t="s">
        <v>1660</v>
      </c>
      <c r="M38" s="336" t="s">
        <v>1666</v>
      </c>
    </row>
    <row r="39" spans="1:14" ht="16.5" customHeight="1">
      <c r="B39" s="9" t="s">
        <v>103</v>
      </c>
      <c r="C39" s="9" t="s">
        <v>269</v>
      </c>
      <c r="D39" s="5"/>
      <c r="E39" s="5"/>
      <c r="F39" s="5"/>
      <c r="G39" s="12"/>
      <c r="H39" s="12"/>
      <c r="L39" s="5" t="s">
        <v>1662</v>
      </c>
      <c r="M39" s="444">
        <v>0.04</v>
      </c>
    </row>
    <row r="40" spans="1:14" ht="16.5" customHeight="1">
      <c r="A40" s="284" t="s">
        <v>1615</v>
      </c>
      <c r="B40" s="8" t="s">
        <v>29</v>
      </c>
      <c r="C40" s="10" t="s">
        <v>115</v>
      </c>
      <c r="D40" s="14" t="s">
        <v>114</v>
      </c>
      <c r="E40" s="15" t="s">
        <v>104</v>
      </c>
      <c r="F40" s="5" t="s">
        <v>1614</v>
      </c>
      <c r="G40" s="12">
        <f>0.0889*G4+0.265*G5-0.0333*(G6-G8)</f>
        <v>3.0597030000000007</v>
      </c>
      <c r="H40" s="267">
        <f>0.0889*H4+0.265*H5-0.0333*(H6-H8)</f>
        <v>3.3799510000000001</v>
      </c>
      <c r="L40" s="5" t="s">
        <v>1663</v>
      </c>
      <c r="M40" s="394"/>
    </row>
    <row r="41" spans="1:14" ht="16.5" customHeight="1">
      <c r="A41" s="329" t="s">
        <v>1587</v>
      </c>
      <c r="B41" s="204" t="s">
        <v>30</v>
      </c>
      <c r="C41" s="10" t="s">
        <v>1062</v>
      </c>
      <c r="D41" s="14" t="s">
        <v>1063</v>
      </c>
      <c r="E41" s="206" t="s">
        <v>249</v>
      </c>
      <c r="F41" s="285" t="s">
        <v>1588</v>
      </c>
      <c r="G41" s="439">
        <v>24.9</v>
      </c>
      <c r="H41" s="439">
        <v>24.9</v>
      </c>
      <c r="L41" s="5" t="s">
        <v>1664</v>
      </c>
      <c r="M41" s="444">
        <v>0.01</v>
      </c>
    </row>
    <row r="42" spans="1:14" ht="16.5" customHeight="1">
      <c r="A42" s="329" t="s">
        <v>1587</v>
      </c>
      <c r="B42" s="204" t="s">
        <v>31</v>
      </c>
      <c r="C42" s="28" t="s">
        <v>260</v>
      </c>
      <c r="D42" s="285" t="s">
        <v>1475</v>
      </c>
      <c r="E42" s="285" t="s">
        <v>1476</v>
      </c>
      <c r="F42" s="285" t="s">
        <v>1588</v>
      </c>
      <c r="G42" s="439">
        <v>50.9</v>
      </c>
      <c r="H42" s="439">
        <v>50.9</v>
      </c>
      <c r="L42" s="5" t="s">
        <v>1665</v>
      </c>
      <c r="M42" s="394"/>
    </row>
    <row r="43" spans="1:14" ht="16.5" customHeight="1">
      <c r="A43" s="329" t="s">
        <v>1587</v>
      </c>
      <c r="B43" s="204" t="s">
        <v>32</v>
      </c>
      <c r="C43" s="370" t="s">
        <v>261</v>
      </c>
      <c r="D43" s="285" t="s">
        <v>1472</v>
      </c>
      <c r="E43" s="285" t="s">
        <v>1473</v>
      </c>
      <c r="F43" s="285" t="s">
        <v>1588</v>
      </c>
      <c r="G43" s="439">
        <v>86.754999999999995</v>
      </c>
      <c r="H43" s="439">
        <v>86.754999999999995</v>
      </c>
    </row>
    <row r="44" spans="1:14" ht="16.5" customHeight="1">
      <c r="A44" s="329" t="s">
        <v>1597</v>
      </c>
      <c r="B44" s="204" t="s">
        <v>33</v>
      </c>
      <c r="C44" s="370" t="s">
        <v>262</v>
      </c>
      <c r="D44" s="285" t="s">
        <v>1474</v>
      </c>
      <c r="E44" s="35" t="s">
        <v>249</v>
      </c>
      <c r="F44" s="285" t="s">
        <v>1588</v>
      </c>
      <c r="G44" s="439">
        <v>9.58</v>
      </c>
      <c r="H44" s="439">
        <v>9.58</v>
      </c>
      <c r="L44" s="5" t="s">
        <v>1660</v>
      </c>
      <c r="M44" s="336" t="s">
        <v>1673</v>
      </c>
      <c r="N44" s="336" t="s">
        <v>1675</v>
      </c>
    </row>
    <row r="45" spans="1:14" ht="16.5" customHeight="1">
      <c r="A45" s="363" t="s">
        <v>1616</v>
      </c>
      <c r="B45" s="277" t="s">
        <v>1154</v>
      </c>
      <c r="C45" s="28" t="s">
        <v>263</v>
      </c>
      <c r="D45" s="35" t="s">
        <v>250</v>
      </c>
      <c r="E45" s="35" t="s">
        <v>247</v>
      </c>
      <c r="F45" s="35" t="s">
        <v>251</v>
      </c>
      <c r="G45" s="286">
        <f>1000*P_T(锅炉计算!$G$44)</f>
        <v>1.194045200574458</v>
      </c>
      <c r="H45" s="286">
        <f>1000*P_T(锅炉计算!$G$44)</f>
        <v>1.194045200574458</v>
      </c>
      <c r="L45" s="5" t="s">
        <v>1662</v>
      </c>
      <c r="M45" s="394">
        <v>0.9</v>
      </c>
      <c r="N45" s="394">
        <v>0.1</v>
      </c>
    </row>
    <row r="46" spans="1:14" ht="16.5" customHeight="1">
      <c r="A46" s="284" t="s">
        <v>1151</v>
      </c>
      <c r="B46" s="204" t="s">
        <v>35</v>
      </c>
      <c r="C46" s="28" t="s">
        <v>264</v>
      </c>
      <c r="D46" s="35" t="s">
        <v>252</v>
      </c>
      <c r="E46" s="35" t="s">
        <v>247</v>
      </c>
      <c r="F46" s="35" t="s">
        <v>253</v>
      </c>
      <c r="G46" s="36">
        <f>G42*G45/100</f>
        <v>0.60776900709239912</v>
      </c>
      <c r="H46" s="38">
        <f>H42*H45/100</f>
        <v>0.60776900709239912</v>
      </c>
      <c r="L46" s="5" t="s">
        <v>1663</v>
      </c>
      <c r="M46" s="394"/>
      <c r="N46" s="394"/>
    </row>
    <row r="47" spans="1:14" ht="16.5" customHeight="1">
      <c r="A47" s="284" t="s">
        <v>1617</v>
      </c>
      <c r="B47" s="204" t="s">
        <v>36</v>
      </c>
      <c r="C47" s="28" t="s">
        <v>265</v>
      </c>
      <c r="D47" s="35" t="s">
        <v>254</v>
      </c>
      <c r="E47" s="35" t="s">
        <v>268</v>
      </c>
      <c r="F47" s="285" t="s">
        <v>1671</v>
      </c>
      <c r="G47" s="36">
        <f>622*G46/(G43-G46)</f>
        <v>4.38821211145597</v>
      </c>
      <c r="H47" s="38">
        <f>622*H46/(H43-H46)</f>
        <v>4.38821211145597</v>
      </c>
      <c r="L47" s="5" t="s">
        <v>1664</v>
      </c>
      <c r="M47" s="394">
        <v>0.6</v>
      </c>
      <c r="N47" s="394">
        <v>0.4</v>
      </c>
    </row>
    <row r="48" spans="1:14" ht="16.5" customHeight="1">
      <c r="A48" s="284" t="s">
        <v>1151</v>
      </c>
      <c r="B48" s="204" t="s">
        <v>37</v>
      </c>
      <c r="C48" s="28" t="s">
        <v>266</v>
      </c>
      <c r="D48" s="35" t="s">
        <v>255</v>
      </c>
      <c r="E48" s="35" t="s">
        <v>256</v>
      </c>
      <c r="F48" s="285" t="s">
        <v>1153</v>
      </c>
      <c r="G48" s="36">
        <f>(1+0.001*G47)/(1/1.293+0.001*G47/0.804)</f>
        <v>1.2895732310383834</v>
      </c>
      <c r="H48" s="38">
        <f>(1+0.001*H47)/(1/1.293+0.001*H47/0.804)</f>
        <v>1.2895732310383834</v>
      </c>
      <c r="L48" s="5" t="s">
        <v>1665</v>
      </c>
      <c r="M48" s="394"/>
      <c r="N48" s="394"/>
    </row>
    <row r="49" spans="1:8" ht="16.5" customHeight="1">
      <c r="A49" s="324" t="s">
        <v>1610</v>
      </c>
      <c r="B49" s="204" t="s">
        <v>38</v>
      </c>
      <c r="C49" s="28" t="s">
        <v>267</v>
      </c>
      <c r="D49" s="35" t="s">
        <v>257</v>
      </c>
      <c r="E49" s="35" t="s">
        <v>258</v>
      </c>
      <c r="F49" s="35" t="s">
        <v>259</v>
      </c>
      <c r="G49" s="36">
        <f>G40*(1+0.0016*G47)</f>
        <v>3.0811856012192935</v>
      </c>
      <c r="H49" s="38">
        <f>H40*(1+0.0016*H47)</f>
        <v>3.4036821070629242</v>
      </c>
    </row>
    <row r="50" spans="1:8" ht="16.5" customHeight="1">
      <c r="B50" s="9" t="s">
        <v>270</v>
      </c>
      <c r="C50" s="9" t="s">
        <v>271</v>
      </c>
      <c r="D50" s="9"/>
      <c r="E50" s="9"/>
      <c r="F50" s="9"/>
      <c r="G50" s="9"/>
    </row>
    <row r="51" spans="1:8" ht="16.5" customHeight="1">
      <c r="A51" s="284" t="s">
        <v>1151</v>
      </c>
      <c r="B51" s="19" t="s">
        <v>29</v>
      </c>
      <c r="C51" s="10" t="s">
        <v>116</v>
      </c>
      <c r="D51" s="16" t="s">
        <v>117</v>
      </c>
      <c r="E51" s="16" t="s">
        <v>104</v>
      </c>
      <c r="F51" s="16" t="s">
        <v>123</v>
      </c>
      <c r="G51" s="20">
        <f>0.79*G40+0.008*G7</f>
        <v>2.4248453700000008</v>
      </c>
      <c r="H51" s="267">
        <f>0.79*H40+0.008*H7</f>
        <v>2.6739212900000005</v>
      </c>
    </row>
    <row r="52" spans="1:8" ht="16.5" customHeight="1">
      <c r="A52" s="284" t="s">
        <v>1151</v>
      </c>
      <c r="B52" s="19" t="s">
        <v>30</v>
      </c>
      <c r="C52" s="10" t="s">
        <v>118</v>
      </c>
      <c r="D52" s="16" t="s">
        <v>120</v>
      </c>
      <c r="E52" s="16" t="s">
        <v>104</v>
      </c>
      <c r="F52" s="16" t="s">
        <v>272</v>
      </c>
      <c r="G52" s="20">
        <f>1.866*(G4+0.375*G8)/100</f>
        <v>0.62954175000000012</v>
      </c>
      <c r="H52" s="267">
        <f>1.866*(H4+0.375*H8)/100</f>
        <v>0.72510427500000008</v>
      </c>
    </row>
    <row r="53" spans="1:8" ht="16.5" customHeight="1">
      <c r="A53" s="284" t="s">
        <v>1150</v>
      </c>
      <c r="B53" s="19" t="s">
        <v>31</v>
      </c>
      <c r="C53" s="10" t="s">
        <v>119</v>
      </c>
      <c r="D53" s="16" t="s">
        <v>121</v>
      </c>
      <c r="E53" s="16" t="s">
        <v>104</v>
      </c>
      <c r="F53" s="16" t="s">
        <v>124</v>
      </c>
      <c r="G53" s="20">
        <f>0.111*G5+0.0124*G10+1.293*G47*G40/0.804/1000</f>
        <v>0.77971281978898155</v>
      </c>
      <c r="H53" s="267">
        <f>0.111*H5+0.0124*H10+1.293*H47*H40/0.804/1000</f>
        <v>0.71345286180998224</v>
      </c>
    </row>
    <row r="54" spans="1:8" ht="16.5" customHeight="1">
      <c r="A54" s="324" t="s">
        <v>1610</v>
      </c>
      <c r="B54" s="19" t="s">
        <v>32</v>
      </c>
      <c r="C54" s="10" t="s">
        <v>125</v>
      </c>
      <c r="D54" s="16" t="s">
        <v>122</v>
      </c>
      <c r="E54" s="16" t="s">
        <v>104</v>
      </c>
      <c r="F54" s="242" t="s">
        <v>1158</v>
      </c>
      <c r="G54" s="20">
        <f>G53+G52+G51</f>
        <v>3.8340999397889823</v>
      </c>
      <c r="H54" s="267">
        <f>H53+H52+H51</f>
        <v>4.1124784268099823</v>
      </c>
    </row>
    <row r="55" spans="1:8" ht="16.5" customHeight="1">
      <c r="A55" s="324" t="s">
        <v>1610</v>
      </c>
      <c r="B55" s="19" t="s">
        <v>33</v>
      </c>
      <c r="C55" s="10" t="s">
        <v>279</v>
      </c>
      <c r="D55" s="37" t="s">
        <v>273</v>
      </c>
      <c r="E55" s="37" t="s">
        <v>274</v>
      </c>
      <c r="F55" s="37" t="s">
        <v>275</v>
      </c>
      <c r="G55" s="38">
        <f>1-G9/100+(1+G47/1000)*1.293*G40</f>
        <v>4.9146566061103423</v>
      </c>
      <c r="H55" s="38">
        <f>1-H9/100+(1+H47/1000)*1.293*H40</f>
        <v>5.3618543438952262</v>
      </c>
    </row>
    <row r="56" spans="1:8" ht="16.5" customHeight="1">
      <c r="A56" s="324" t="s">
        <v>1610</v>
      </c>
      <c r="B56" s="19" t="s">
        <v>34</v>
      </c>
      <c r="C56" s="10" t="s">
        <v>280</v>
      </c>
      <c r="D56" s="37" t="s">
        <v>276</v>
      </c>
      <c r="E56" s="37" t="s">
        <v>277</v>
      </c>
      <c r="F56" s="37" t="s">
        <v>278</v>
      </c>
      <c r="G56" s="38">
        <f>G55/G54</f>
        <v>1.2818279865654285</v>
      </c>
      <c r="H56" s="38">
        <f>H55/H54</f>
        <v>1.3038012087650939</v>
      </c>
    </row>
    <row r="57" spans="1:8" ht="16.5" customHeight="1">
      <c r="B57" s="9" t="s">
        <v>281</v>
      </c>
      <c r="C57" s="9" t="s">
        <v>282</v>
      </c>
      <c r="D57" s="9"/>
      <c r="E57" s="9"/>
      <c r="F57" s="9"/>
      <c r="G57" s="9"/>
    </row>
    <row r="58" spans="1:8" ht="16.5" customHeight="1">
      <c r="A58" s="368" t="s">
        <v>1606</v>
      </c>
      <c r="B58" s="19" t="s">
        <v>29</v>
      </c>
      <c r="C58" s="10" t="s">
        <v>341</v>
      </c>
      <c r="D58" s="40" t="s">
        <v>283</v>
      </c>
      <c r="E58" s="40"/>
      <c r="F58" s="41" t="s">
        <v>46</v>
      </c>
      <c r="G58" s="48">
        <v>1.2</v>
      </c>
      <c r="H58" s="48">
        <v>1.2</v>
      </c>
    </row>
    <row r="59" spans="1:8" ht="16.5" customHeight="1">
      <c r="A59" s="368" t="s">
        <v>1606</v>
      </c>
      <c r="B59" s="19" t="s">
        <v>30</v>
      </c>
      <c r="C59" s="10" t="s">
        <v>517</v>
      </c>
      <c r="D59" s="40" t="s">
        <v>284</v>
      </c>
      <c r="E59" s="40"/>
      <c r="F59" s="41" t="s">
        <v>46</v>
      </c>
      <c r="G59" s="48">
        <v>0.05</v>
      </c>
      <c r="H59" s="48">
        <v>0.05</v>
      </c>
    </row>
    <row r="60" spans="1:8" ht="16.5" customHeight="1">
      <c r="A60" s="284" t="s">
        <v>1150</v>
      </c>
      <c r="B60" s="19" t="s">
        <v>31</v>
      </c>
      <c r="C60" s="10" t="s">
        <v>316</v>
      </c>
      <c r="D60" s="40" t="s">
        <v>285</v>
      </c>
      <c r="E60" s="40"/>
      <c r="F60" s="44"/>
      <c r="G60" s="47">
        <f>G58+G59</f>
        <v>1.25</v>
      </c>
      <c r="H60" s="47">
        <f>H58+H59</f>
        <v>1.25</v>
      </c>
    </row>
    <row r="61" spans="1:8" ht="16.5" customHeight="1">
      <c r="A61" s="368" t="s">
        <v>1606</v>
      </c>
      <c r="B61" s="19" t="s">
        <v>32</v>
      </c>
      <c r="C61" s="10" t="s">
        <v>518</v>
      </c>
      <c r="D61" s="40" t="s">
        <v>286</v>
      </c>
      <c r="E61" s="40"/>
      <c r="F61" s="41" t="s">
        <v>46</v>
      </c>
      <c r="G61" s="48">
        <v>0.05</v>
      </c>
      <c r="H61" s="48">
        <v>0.05</v>
      </c>
    </row>
    <row r="62" spans="1:8" ht="16.5" customHeight="1">
      <c r="A62" s="284" t="s">
        <v>1150</v>
      </c>
      <c r="B62" s="19" t="s">
        <v>33</v>
      </c>
      <c r="C62" s="10" t="s">
        <v>519</v>
      </c>
      <c r="D62" s="40" t="s">
        <v>287</v>
      </c>
      <c r="E62" s="40"/>
      <c r="F62" s="41"/>
      <c r="G62" s="46">
        <f>G61+G60</f>
        <v>1.3</v>
      </c>
      <c r="H62" s="46">
        <f>H61+H60</f>
        <v>1.3</v>
      </c>
    </row>
    <row r="63" spans="1:8" ht="16.5" customHeight="1">
      <c r="A63" s="368" t="s">
        <v>1606</v>
      </c>
      <c r="B63" s="19" t="s">
        <v>34</v>
      </c>
      <c r="C63" s="10" t="s">
        <v>520</v>
      </c>
      <c r="D63" s="40" t="s">
        <v>288</v>
      </c>
      <c r="E63" s="40"/>
      <c r="F63" s="41" t="s">
        <v>46</v>
      </c>
      <c r="G63" s="48">
        <v>0</v>
      </c>
      <c r="H63" s="48">
        <v>0</v>
      </c>
    </row>
    <row r="64" spans="1:8" ht="16.5" customHeight="1">
      <c r="A64" s="284" t="s">
        <v>1150</v>
      </c>
      <c r="B64" s="19" t="s">
        <v>35</v>
      </c>
      <c r="C64" s="10" t="s">
        <v>521</v>
      </c>
      <c r="D64" s="40" t="s">
        <v>289</v>
      </c>
      <c r="E64" s="40"/>
      <c r="F64" s="41"/>
      <c r="G64" s="46">
        <f>G63+G62</f>
        <v>1.3</v>
      </c>
      <c r="H64" s="46">
        <f>H63+H62</f>
        <v>1.3</v>
      </c>
    </row>
    <row r="65" spans="1:8" ht="16.5" customHeight="1">
      <c r="A65" s="368" t="s">
        <v>1606</v>
      </c>
      <c r="B65" s="19" t="s">
        <v>36</v>
      </c>
      <c r="C65" s="10" t="s">
        <v>522</v>
      </c>
      <c r="D65" s="40" t="s">
        <v>290</v>
      </c>
      <c r="E65" s="40"/>
      <c r="F65" s="41" t="s">
        <v>46</v>
      </c>
      <c r="G65" s="48">
        <v>0.03</v>
      </c>
      <c r="H65" s="48">
        <v>0.03</v>
      </c>
    </row>
    <row r="66" spans="1:8" ht="16.5" customHeight="1">
      <c r="A66" s="284" t="s">
        <v>1150</v>
      </c>
      <c r="B66" s="19" t="s">
        <v>37</v>
      </c>
      <c r="C66" s="10" t="s">
        <v>523</v>
      </c>
      <c r="D66" s="40" t="s">
        <v>291</v>
      </c>
      <c r="E66" s="40"/>
      <c r="F66" s="41"/>
      <c r="G66" s="46">
        <f>G65+G64</f>
        <v>1.33</v>
      </c>
      <c r="H66" s="46">
        <f>H65+H64</f>
        <v>1.33</v>
      </c>
    </row>
    <row r="67" spans="1:8" ht="16.5" customHeight="1">
      <c r="A67" s="368" t="s">
        <v>1606</v>
      </c>
      <c r="B67" s="19" t="s">
        <v>38</v>
      </c>
      <c r="C67" s="10" t="s">
        <v>524</v>
      </c>
      <c r="D67" s="40" t="s">
        <v>292</v>
      </c>
      <c r="E67" s="40"/>
      <c r="F67" s="41" t="s">
        <v>46</v>
      </c>
      <c r="G67" s="48">
        <v>0.03</v>
      </c>
      <c r="H67" s="48">
        <v>0.03</v>
      </c>
    </row>
    <row r="68" spans="1:8" ht="16.5" customHeight="1">
      <c r="A68" s="284" t="s">
        <v>1150</v>
      </c>
      <c r="B68" s="19" t="s">
        <v>39</v>
      </c>
      <c r="C68" s="10" t="s">
        <v>525</v>
      </c>
      <c r="D68" s="40" t="s">
        <v>293</v>
      </c>
      <c r="E68" s="40"/>
      <c r="F68" s="41"/>
      <c r="G68" s="39">
        <f>G67+G66</f>
        <v>1.36</v>
      </c>
      <c r="H68" s="39">
        <f>H67+H66</f>
        <v>1.36</v>
      </c>
    </row>
    <row r="69" spans="1:8" ht="16.5" customHeight="1">
      <c r="A69" s="368" t="s">
        <v>1606</v>
      </c>
      <c r="B69" s="19" t="s">
        <v>48</v>
      </c>
      <c r="C69" s="10" t="s">
        <v>317</v>
      </c>
      <c r="D69" s="40" t="s">
        <v>294</v>
      </c>
      <c r="E69" s="40"/>
      <c r="F69" s="45" t="s">
        <v>295</v>
      </c>
      <c r="G69" s="48">
        <v>0.02</v>
      </c>
      <c r="H69" s="48">
        <v>0.02</v>
      </c>
    </row>
    <row r="70" spans="1:8" ht="16.5" customHeight="1">
      <c r="A70" s="284" t="s">
        <v>1150</v>
      </c>
      <c r="B70" s="19" t="s">
        <v>49</v>
      </c>
      <c r="C70" s="10" t="s">
        <v>526</v>
      </c>
      <c r="D70" s="40" t="s">
        <v>296</v>
      </c>
      <c r="E70" s="40"/>
      <c r="F70" s="43" t="s">
        <v>297</v>
      </c>
      <c r="G70" s="46">
        <f>G69+G68</f>
        <v>1.3800000000000001</v>
      </c>
      <c r="H70" s="46">
        <f>H69+H68</f>
        <v>1.3800000000000001</v>
      </c>
    </row>
    <row r="71" spans="1:8" ht="16.5" customHeight="1">
      <c r="A71" s="368" t="s">
        <v>1606</v>
      </c>
      <c r="B71" s="19" t="s">
        <v>50</v>
      </c>
      <c r="C71" s="10" t="s">
        <v>527</v>
      </c>
      <c r="D71" s="42" t="s">
        <v>298</v>
      </c>
      <c r="E71" s="40"/>
      <c r="F71" s="42" t="s">
        <v>111</v>
      </c>
      <c r="G71" s="48">
        <v>0.02</v>
      </c>
      <c r="H71" s="48">
        <v>0.02</v>
      </c>
    </row>
    <row r="72" spans="1:8" ht="16.5" customHeight="1">
      <c r="A72" s="284" t="s">
        <v>1150</v>
      </c>
      <c r="B72" s="19" t="s">
        <v>51</v>
      </c>
      <c r="C72" s="10" t="s">
        <v>528</v>
      </c>
      <c r="D72" s="40" t="s">
        <v>299</v>
      </c>
      <c r="E72" s="40"/>
      <c r="F72" s="43" t="s">
        <v>300</v>
      </c>
      <c r="G72" s="46">
        <f>G71+G70</f>
        <v>1.4000000000000001</v>
      </c>
      <c r="H72" s="46">
        <f>H71+H70</f>
        <v>1.4000000000000001</v>
      </c>
    </row>
    <row r="73" spans="1:8" ht="16.5" customHeight="1">
      <c r="A73" s="368" t="s">
        <v>1606</v>
      </c>
      <c r="B73" s="19" t="s">
        <v>52</v>
      </c>
      <c r="C73" s="10" t="s">
        <v>318</v>
      </c>
      <c r="D73" s="40" t="s">
        <v>301</v>
      </c>
      <c r="E73" s="40"/>
      <c r="F73" s="45" t="s">
        <v>295</v>
      </c>
      <c r="G73" s="48">
        <v>0.03</v>
      </c>
      <c r="H73" s="48">
        <v>0.03</v>
      </c>
    </row>
    <row r="74" spans="1:8" ht="16.5" customHeight="1">
      <c r="A74" s="284" t="s">
        <v>1150</v>
      </c>
      <c r="B74" s="19" t="s">
        <v>53</v>
      </c>
      <c r="C74" s="10" t="s">
        <v>529</v>
      </c>
      <c r="D74" s="40" t="s">
        <v>302</v>
      </c>
      <c r="E74" s="40"/>
      <c r="F74" s="40" t="s">
        <v>303</v>
      </c>
      <c r="G74" s="47">
        <f>G73+G72</f>
        <v>1.4300000000000002</v>
      </c>
      <c r="H74" s="47">
        <f>H73+H72</f>
        <v>1.4300000000000002</v>
      </c>
    </row>
    <row r="75" spans="1:8" ht="16.5" customHeight="1">
      <c r="A75" s="324" t="s">
        <v>1610</v>
      </c>
      <c r="B75" s="19" t="s">
        <v>54</v>
      </c>
      <c r="C75" s="10" t="s">
        <v>319</v>
      </c>
      <c r="D75" s="40" t="s">
        <v>304</v>
      </c>
      <c r="E75" s="40" t="s">
        <v>305</v>
      </c>
      <c r="F75" s="40" t="s">
        <v>306</v>
      </c>
      <c r="G75" s="47">
        <f>G54+(G68-1)*G40+0.0161*(G68-1)*G40</f>
        <v>4.9533270583769831</v>
      </c>
      <c r="H75" s="47">
        <f>H54+(H68-1)*H40+0.0161*(H68-1)*H40</f>
        <v>5.348850982805982</v>
      </c>
    </row>
    <row r="76" spans="1:8" ht="16.5" customHeight="1">
      <c r="A76" s="324" t="s">
        <v>1610</v>
      </c>
      <c r="B76" s="19" t="s">
        <v>55</v>
      </c>
      <c r="C76" s="10" t="s">
        <v>320</v>
      </c>
      <c r="D76" s="40" t="s">
        <v>307</v>
      </c>
      <c r="E76" s="40" t="s">
        <v>308</v>
      </c>
      <c r="F76" s="40" t="s">
        <v>327</v>
      </c>
      <c r="G76" s="46">
        <f>1-G9/100+(1+G47/1000)*1.293*G40*G68</f>
        <v>6.3451369843100665</v>
      </c>
      <c r="H76" s="46">
        <f>1-H9/100+(1+H47/1000)*1.293*H40*H68</f>
        <v>6.9420579076975075</v>
      </c>
    </row>
    <row r="77" spans="1:8" ht="16.5" customHeight="1">
      <c r="A77" s="371" t="s">
        <v>1618</v>
      </c>
      <c r="B77" s="19" t="s">
        <v>56</v>
      </c>
      <c r="C77" s="10" t="s">
        <v>321</v>
      </c>
      <c r="D77" s="40"/>
      <c r="E77" s="40"/>
      <c r="F77" s="40"/>
      <c r="G77" s="48" t="s">
        <v>309</v>
      </c>
      <c r="H77" s="48" t="s">
        <v>309</v>
      </c>
    </row>
    <row r="78" spans="1:8" ht="16.5" customHeight="1">
      <c r="A78" s="369" t="s">
        <v>1607</v>
      </c>
      <c r="B78" s="19" t="s">
        <v>57</v>
      </c>
      <c r="C78" s="10" t="s">
        <v>323</v>
      </c>
      <c r="D78" s="40" t="s">
        <v>310</v>
      </c>
      <c r="E78" s="40" t="s">
        <v>249</v>
      </c>
      <c r="F78" s="42" t="s">
        <v>46</v>
      </c>
      <c r="G78" s="48">
        <v>20</v>
      </c>
      <c r="H78" s="48">
        <v>20</v>
      </c>
    </row>
    <row r="79" spans="1:8" ht="16.5" customHeight="1">
      <c r="A79" s="369" t="s">
        <v>1607</v>
      </c>
      <c r="B79" s="19" t="s">
        <v>126</v>
      </c>
      <c r="C79" s="10" t="s">
        <v>324</v>
      </c>
      <c r="D79" s="40" t="s">
        <v>311</v>
      </c>
      <c r="E79" s="40" t="s">
        <v>249</v>
      </c>
      <c r="F79" s="42" t="s">
        <v>46</v>
      </c>
      <c r="G79" s="48">
        <v>20</v>
      </c>
      <c r="H79" s="48">
        <v>20</v>
      </c>
    </row>
    <row r="80" spans="1:8" ht="16.5" customHeight="1">
      <c r="A80" s="368" t="s">
        <v>1606</v>
      </c>
      <c r="B80" s="19" t="s">
        <v>127</v>
      </c>
      <c r="C80" s="10" t="s">
        <v>325</v>
      </c>
      <c r="D80" s="40" t="s">
        <v>312</v>
      </c>
      <c r="E80" s="40" t="s">
        <v>249</v>
      </c>
      <c r="F80" s="42" t="s">
        <v>46</v>
      </c>
      <c r="G80" s="48">
        <v>110</v>
      </c>
      <c r="H80" s="48">
        <v>110</v>
      </c>
    </row>
    <row r="81" spans="1:8" ht="16.5" customHeight="1">
      <c r="A81" s="368" t="s">
        <v>1606</v>
      </c>
      <c r="B81" s="19" t="s">
        <v>128</v>
      </c>
      <c r="C81" s="10" t="s">
        <v>326</v>
      </c>
      <c r="D81" s="40" t="s">
        <v>313</v>
      </c>
      <c r="E81" s="40" t="s">
        <v>249</v>
      </c>
      <c r="F81" s="42" t="s">
        <v>46</v>
      </c>
      <c r="G81" s="48">
        <v>140</v>
      </c>
      <c r="H81" s="48">
        <v>140</v>
      </c>
    </row>
    <row r="82" spans="1:8" ht="16.5" customHeight="1">
      <c r="A82" s="368" t="s">
        <v>1606</v>
      </c>
      <c r="B82" s="19" t="s">
        <v>129</v>
      </c>
      <c r="C82" s="10" t="s">
        <v>322</v>
      </c>
      <c r="D82" s="40" t="s">
        <v>314</v>
      </c>
      <c r="E82" s="40" t="s">
        <v>249</v>
      </c>
      <c r="F82" s="42" t="s">
        <v>46</v>
      </c>
      <c r="G82" s="48">
        <v>145</v>
      </c>
      <c r="H82" s="48">
        <v>145</v>
      </c>
    </row>
    <row r="83" spans="1:8" ht="16.5" customHeight="1">
      <c r="A83" s="295"/>
      <c r="B83" s="294" t="s">
        <v>328</v>
      </c>
      <c r="C83" s="9" t="s">
        <v>329</v>
      </c>
      <c r="D83" s="9"/>
      <c r="E83" s="9"/>
      <c r="F83" s="9"/>
      <c r="G83" s="9"/>
    </row>
    <row r="84" spans="1:8" ht="16.5" customHeight="1">
      <c r="A84" s="374" t="s">
        <v>1620</v>
      </c>
      <c r="B84" s="326" t="s">
        <v>29</v>
      </c>
      <c r="C84" s="10" t="s">
        <v>340</v>
      </c>
      <c r="D84" s="49" t="s">
        <v>330</v>
      </c>
      <c r="E84" s="49" t="s">
        <v>331</v>
      </c>
      <c r="F84" s="51"/>
      <c r="G84" s="53">
        <f>G49</f>
        <v>3.0811856012192935</v>
      </c>
      <c r="H84" s="112">
        <f>H49</f>
        <v>3.4036821070629242</v>
      </c>
    </row>
    <row r="85" spans="1:8" ht="16.5" customHeight="1">
      <c r="A85" s="377" t="s">
        <v>1621</v>
      </c>
      <c r="B85" s="326" t="s">
        <v>30</v>
      </c>
      <c r="C85" s="10" t="s">
        <v>341</v>
      </c>
      <c r="D85" s="49" t="s">
        <v>283</v>
      </c>
      <c r="E85" s="50"/>
      <c r="F85" s="51"/>
      <c r="G85" s="53">
        <f>G58</f>
        <v>1.2</v>
      </c>
      <c r="H85" s="112">
        <f>H58</f>
        <v>1.2</v>
      </c>
    </row>
    <row r="86" spans="1:8" ht="16.5" customHeight="1">
      <c r="A86" s="376" t="s">
        <v>1150</v>
      </c>
      <c r="B86" s="326" t="s">
        <v>31</v>
      </c>
      <c r="C86" s="10" t="s">
        <v>342</v>
      </c>
      <c r="D86" s="49" t="s">
        <v>332</v>
      </c>
      <c r="E86" s="49" t="s">
        <v>333</v>
      </c>
      <c r="F86" s="49" t="s">
        <v>334</v>
      </c>
      <c r="G86" s="53">
        <f>G85*G84</f>
        <v>3.6974227214631519</v>
      </c>
      <c r="H86" s="112">
        <f>H85*H84</f>
        <v>4.084418528475509</v>
      </c>
    </row>
    <row r="87" spans="1:8" ht="16.5" customHeight="1">
      <c r="A87" s="374" t="s">
        <v>1620</v>
      </c>
      <c r="B87" s="326" t="s">
        <v>32</v>
      </c>
      <c r="C87" s="10" t="s">
        <v>343</v>
      </c>
      <c r="D87" s="52" t="s">
        <v>335</v>
      </c>
      <c r="E87" s="50" t="s">
        <v>336</v>
      </c>
      <c r="F87" s="104" t="s">
        <v>1156</v>
      </c>
      <c r="G87" s="53">
        <f>G31</f>
        <v>30856.763806563027</v>
      </c>
      <c r="H87" s="112">
        <f>H31</f>
        <v>26447.244526390139</v>
      </c>
    </row>
    <row r="88" spans="1:8" ht="16.5" customHeight="1">
      <c r="A88" s="375" t="s">
        <v>1610</v>
      </c>
      <c r="B88" s="326" t="s">
        <v>33</v>
      </c>
      <c r="C88" s="10" t="s">
        <v>344</v>
      </c>
      <c r="D88" s="49" t="s">
        <v>338</v>
      </c>
      <c r="E88" s="49" t="s">
        <v>339</v>
      </c>
      <c r="F88" s="242" t="s">
        <v>1157</v>
      </c>
      <c r="G88" s="53">
        <f>G87*G86</f>
        <v>114090.49960920795</v>
      </c>
      <c r="H88" s="112">
        <f>H87*H86</f>
        <v>108021.61557071038</v>
      </c>
    </row>
    <row r="89" spans="1:8" ht="16.5" customHeight="1">
      <c r="A89" s="372"/>
      <c r="B89" s="19" t="s">
        <v>34</v>
      </c>
      <c r="C89" s="67" t="s">
        <v>375</v>
      </c>
      <c r="D89" s="55"/>
      <c r="E89" s="55"/>
      <c r="F89" s="55"/>
      <c r="G89" s="64"/>
      <c r="H89" s="111"/>
    </row>
    <row r="90" spans="1:8" ht="16.5" customHeight="1">
      <c r="A90" s="368" t="s">
        <v>1606</v>
      </c>
      <c r="B90" s="293" t="s">
        <v>35</v>
      </c>
      <c r="C90" s="61" t="s">
        <v>345</v>
      </c>
      <c r="D90" s="59" t="s">
        <v>346</v>
      </c>
      <c r="E90" s="56" t="s">
        <v>244</v>
      </c>
      <c r="F90" s="58" t="s">
        <v>46</v>
      </c>
      <c r="G90" s="69">
        <v>50</v>
      </c>
      <c r="H90" s="244">
        <v>50</v>
      </c>
    </row>
    <row r="91" spans="1:8" ht="16.5" customHeight="1">
      <c r="A91" s="328" t="s">
        <v>1622</v>
      </c>
      <c r="B91" s="293" t="s">
        <v>36</v>
      </c>
      <c r="C91" s="61" t="s">
        <v>347</v>
      </c>
      <c r="D91" s="55" t="s">
        <v>310</v>
      </c>
      <c r="E91" s="55" t="s">
        <v>249</v>
      </c>
      <c r="F91" s="57"/>
      <c r="G91" s="65">
        <f>G78</f>
        <v>20</v>
      </c>
      <c r="H91" s="112">
        <f>H78</f>
        <v>20</v>
      </c>
    </row>
    <row r="92" spans="1:8" ht="16.5" customHeight="1">
      <c r="A92" s="329" t="s">
        <v>1623</v>
      </c>
      <c r="B92" s="293" t="s">
        <v>37</v>
      </c>
      <c r="C92" s="60" t="s">
        <v>348</v>
      </c>
      <c r="D92" s="55" t="s">
        <v>246</v>
      </c>
      <c r="E92" s="55" t="s">
        <v>247</v>
      </c>
      <c r="F92" s="55" t="s">
        <v>245</v>
      </c>
      <c r="G92" s="63">
        <f>G43</f>
        <v>86.754999999999995</v>
      </c>
      <c r="H92" s="110">
        <f>H43</f>
        <v>86.754999999999995</v>
      </c>
    </row>
    <row r="93" spans="1:8" ht="16.5" customHeight="1">
      <c r="A93" s="284" t="s">
        <v>1150</v>
      </c>
      <c r="B93" s="293" t="s">
        <v>38</v>
      </c>
      <c r="C93" s="315" t="s">
        <v>349</v>
      </c>
      <c r="D93" s="59" t="s">
        <v>350</v>
      </c>
      <c r="E93" s="55" t="s">
        <v>339</v>
      </c>
      <c r="F93" s="55" t="s">
        <v>351</v>
      </c>
      <c r="G93" s="65">
        <f>G90*G88/100</f>
        <v>57045.249804603976</v>
      </c>
      <c r="H93" s="112">
        <f>H90*H88/100</f>
        <v>54010.807785355188</v>
      </c>
    </row>
    <row r="94" spans="1:8" ht="16.5" customHeight="1">
      <c r="A94" s="284" t="s">
        <v>1150</v>
      </c>
      <c r="B94" s="293" t="s">
        <v>39</v>
      </c>
      <c r="C94" s="315" t="s">
        <v>352</v>
      </c>
      <c r="D94" s="59" t="s">
        <v>353</v>
      </c>
      <c r="E94" s="55" t="s">
        <v>354</v>
      </c>
      <c r="F94" s="59" t="s">
        <v>355</v>
      </c>
      <c r="G94" s="54">
        <f>G93*(273+G91)/273*101.325/G92</f>
        <v>71506.670668517239</v>
      </c>
      <c r="H94" s="54">
        <f>H93*(273+H91)/273*101.325/H92</f>
        <v>67702.973658225208</v>
      </c>
    </row>
    <row r="95" spans="1:8" ht="16.5" customHeight="1">
      <c r="A95" s="329" t="s">
        <v>1619</v>
      </c>
      <c r="B95" s="293" t="s">
        <v>48</v>
      </c>
      <c r="C95" s="68" t="s">
        <v>356</v>
      </c>
      <c r="D95" s="55" t="s">
        <v>357</v>
      </c>
      <c r="E95" s="55" t="s">
        <v>358</v>
      </c>
      <c r="F95" s="59"/>
      <c r="G95" s="65">
        <f>G48</f>
        <v>1.2895732310383834</v>
      </c>
      <c r="H95" s="112">
        <f>H48</f>
        <v>1.2895732310383834</v>
      </c>
    </row>
    <row r="96" spans="1:8" ht="16.5" customHeight="1">
      <c r="A96" s="324" t="s">
        <v>1610</v>
      </c>
      <c r="B96" s="293" t="s">
        <v>49</v>
      </c>
      <c r="C96" s="61" t="s">
        <v>359</v>
      </c>
      <c r="D96" s="59" t="s">
        <v>360</v>
      </c>
      <c r="E96" s="55" t="s">
        <v>336</v>
      </c>
      <c r="F96" s="59" t="s">
        <v>361</v>
      </c>
      <c r="G96" s="65">
        <f>G95*G93</f>
        <v>73564.027105914865</v>
      </c>
      <c r="H96" s="112">
        <f>H95*H93</f>
        <v>69650.891906753561</v>
      </c>
    </row>
    <row r="97" spans="1:8" ht="16.5" customHeight="1">
      <c r="A97" s="324" t="s">
        <v>1610</v>
      </c>
      <c r="B97" s="293" t="s">
        <v>50</v>
      </c>
      <c r="C97" s="61" t="s">
        <v>362</v>
      </c>
      <c r="D97" s="55" t="s">
        <v>363</v>
      </c>
      <c r="E97" s="55" t="s">
        <v>364</v>
      </c>
      <c r="F97" s="59" t="s">
        <v>365</v>
      </c>
      <c r="G97" s="65">
        <f>G96/G94</f>
        <v>1.0287715316370258</v>
      </c>
      <c r="H97" s="112">
        <f>H96/H94</f>
        <v>1.0287715316370258</v>
      </c>
    </row>
    <row r="98" spans="1:8" ht="16.5" customHeight="1">
      <c r="A98" s="324" t="s">
        <v>1624</v>
      </c>
      <c r="B98" s="293" t="s">
        <v>51</v>
      </c>
      <c r="C98" s="62" t="s">
        <v>366</v>
      </c>
      <c r="D98" s="55" t="s">
        <v>363</v>
      </c>
      <c r="E98" s="55" t="s">
        <v>364</v>
      </c>
      <c r="F98" s="55" t="s">
        <v>367</v>
      </c>
      <c r="G98" s="65">
        <f>G95*273/(273+G91)*G92/101.325</f>
        <v>1.0287715316370256</v>
      </c>
      <c r="H98" s="112">
        <f>H95*273/(273+H91)*H92/101.325</f>
        <v>1.0287715316370256</v>
      </c>
    </row>
    <row r="99" spans="1:8" ht="16.5" customHeight="1">
      <c r="B99" s="19" t="s">
        <v>52</v>
      </c>
      <c r="C99" s="66" t="s">
        <v>376</v>
      </c>
      <c r="D99" s="56"/>
      <c r="E99" s="56"/>
      <c r="F99" s="56"/>
      <c r="G99" s="65"/>
      <c r="H99" s="112"/>
    </row>
    <row r="100" spans="1:8" ht="16.5" customHeight="1">
      <c r="A100" s="329" t="s">
        <v>1621</v>
      </c>
      <c r="B100" s="19" t="s">
        <v>53</v>
      </c>
      <c r="C100" s="61" t="s">
        <v>368</v>
      </c>
      <c r="D100" s="55" t="s">
        <v>312</v>
      </c>
      <c r="E100" s="55" t="s">
        <v>249</v>
      </c>
      <c r="F100" s="57"/>
      <c r="G100" s="65">
        <f>G80</f>
        <v>110</v>
      </c>
      <c r="H100" s="112">
        <f>H80</f>
        <v>110</v>
      </c>
    </row>
    <row r="101" spans="1:8" ht="16.5" customHeight="1">
      <c r="A101" s="324" t="s">
        <v>1610</v>
      </c>
      <c r="B101" s="19" t="s">
        <v>54</v>
      </c>
      <c r="C101" s="61" t="s">
        <v>369</v>
      </c>
      <c r="D101" s="59" t="s">
        <v>370</v>
      </c>
      <c r="E101" s="55" t="s">
        <v>354</v>
      </c>
      <c r="F101" s="59" t="s">
        <v>371</v>
      </c>
      <c r="G101" s="65">
        <f>G93*(273+G100)/273*101.325/G92</f>
        <v>93471.177017208538</v>
      </c>
      <c r="H101" s="112">
        <f>H93*(273+H100)/273*101.325/H92</f>
        <v>88499.10891160497</v>
      </c>
    </row>
    <row r="102" spans="1:8" ht="16.5" customHeight="1">
      <c r="A102" s="324" t="s">
        <v>1610</v>
      </c>
      <c r="B102" s="19" t="s">
        <v>55</v>
      </c>
      <c r="C102" s="61" t="s">
        <v>372</v>
      </c>
      <c r="D102" s="55" t="s">
        <v>373</v>
      </c>
      <c r="E102" s="55" t="s">
        <v>364</v>
      </c>
      <c r="F102" s="59" t="s">
        <v>374</v>
      </c>
      <c r="G102" s="65">
        <f>G96/G101</f>
        <v>0.78702365214007453</v>
      </c>
      <c r="H102" s="112">
        <f>H96/H101</f>
        <v>0.78702365214007453</v>
      </c>
    </row>
    <row r="103" spans="1:8" ht="16.5" customHeight="1">
      <c r="B103" s="19" t="s">
        <v>56</v>
      </c>
      <c r="C103" s="78" t="s">
        <v>401</v>
      </c>
      <c r="D103" s="70"/>
      <c r="E103" s="70"/>
      <c r="F103" s="70"/>
      <c r="G103" s="76"/>
      <c r="H103" s="111"/>
    </row>
    <row r="104" spans="1:8" ht="16.5" customHeight="1">
      <c r="A104" s="368" t="s">
        <v>1606</v>
      </c>
      <c r="B104" s="19" t="s">
        <v>57</v>
      </c>
      <c r="C104" s="75" t="s">
        <v>377</v>
      </c>
      <c r="D104" s="74" t="s">
        <v>378</v>
      </c>
      <c r="E104" s="71" t="s">
        <v>244</v>
      </c>
      <c r="F104" s="73" t="s">
        <v>46</v>
      </c>
      <c r="G104" s="77">
        <f>100-G90</f>
        <v>50</v>
      </c>
      <c r="H104" s="112">
        <f>100-H90</f>
        <v>50</v>
      </c>
    </row>
    <row r="105" spans="1:8" ht="16.5" customHeight="1">
      <c r="A105" s="328" t="s">
        <v>1622</v>
      </c>
      <c r="B105" s="19" t="s">
        <v>126</v>
      </c>
      <c r="C105" s="75" t="s">
        <v>379</v>
      </c>
      <c r="D105" s="70" t="s">
        <v>311</v>
      </c>
      <c r="E105" s="70" t="s">
        <v>249</v>
      </c>
      <c r="F105" s="72"/>
      <c r="G105" s="77">
        <f>G79</f>
        <v>20</v>
      </c>
      <c r="H105" s="112">
        <f>H79</f>
        <v>20</v>
      </c>
    </row>
    <row r="106" spans="1:8" ht="16.5" customHeight="1">
      <c r="A106" s="284" t="s">
        <v>1150</v>
      </c>
      <c r="B106" s="19" t="s">
        <v>127</v>
      </c>
      <c r="C106" s="315" t="s">
        <v>380</v>
      </c>
      <c r="D106" s="74" t="s">
        <v>381</v>
      </c>
      <c r="E106" s="70" t="s">
        <v>339</v>
      </c>
      <c r="F106" s="70" t="s">
        <v>382</v>
      </c>
      <c r="G106" s="77">
        <f>G104/100*G88</f>
        <v>57045.249804603976</v>
      </c>
      <c r="H106" s="112">
        <f>H104/100*H88</f>
        <v>54010.807785355188</v>
      </c>
    </row>
    <row r="107" spans="1:8" ht="16.5" customHeight="1">
      <c r="A107" s="284" t="s">
        <v>1150</v>
      </c>
      <c r="B107" s="19" t="s">
        <v>128</v>
      </c>
      <c r="C107" s="315" t="s">
        <v>383</v>
      </c>
      <c r="D107" s="74" t="s">
        <v>384</v>
      </c>
      <c r="E107" s="70" t="s">
        <v>354</v>
      </c>
      <c r="F107" s="74" t="s">
        <v>385</v>
      </c>
      <c r="G107" s="54">
        <f>G106*(273+G105)/273*101.325/G92</f>
        <v>71506.670668517239</v>
      </c>
      <c r="H107" s="54">
        <f>H106*(273+H105)/273*101.325/H92</f>
        <v>67702.973658225208</v>
      </c>
    </row>
    <row r="108" spans="1:8" ht="16.5" customHeight="1">
      <c r="A108" s="329" t="s">
        <v>1619</v>
      </c>
      <c r="B108" s="19" t="s">
        <v>129</v>
      </c>
      <c r="C108" s="79" t="s">
        <v>356</v>
      </c>
      <c r="D108" s="70" t="s">
        <v>357</v>
      </c>
      <c r="E108" s="70" t="s">
        <v>358</v>
      </c>
      <c r="F108" s="74"/>
      <c r="G108" s="77">
        <f>G95</f>
        <v>1.2895732310383834</v>
      </c>
      <c r="H108" s="112">
        <f>H95</f>
        <v>1.2895732310383834</v>
      </c>
    </row>
    <row r="109" spans="1:8" ht="16.5" customHeight="1">
      <c r="A109" s="324" t="s">
        <v>1610</v>
      </c>
      <c r="B109" s="19" t="s">
        <v>403</v>
      </c>
      <c r="C109" s="75" t="s">
        <v>386</v>
      </c>
      <c r="D109" s="74" t="s">
        <v>387</v>
      </c>
      <c r="E109" s="70" t="s">
        <v>336</v>
      </c>
      <c r="F109" s="74" t="s">
        <v>388</v>
      </c>
      <c r="G109" s="77">
        <f>G108*G106</f>
        <v>73564.027105914865</v>
      </c>
      <c r="H109" s="112">
        <f>H108*H106</f>
        <v>69650.891906753561</v>
      </c>
    </row>
    <row r="110" spans="1:8" ht="16.5" customHeight="1">
      <c r="A110" s="324" t="s">
        <v>1610</v>
      </c>
      <c r="B110" s="19" t="s">
        <v>404</v>
      </c>
      <c r="C110" s="75" t="s">
        <v>389</v>
      </c>
      <c r="D110" s="70" t="s">
        <v>390</v>
      </c>
      <c r="E110" s="70" t="s">
        <v>364</v>
      </c>
      <c r="F110" s="74" t="s">
        <v>391</v>
      </c>
      <c r="G110" s="77">
        <f>G109/G107</f>
        <v>1.0287715316370258</v>
      </c>
      <c r="H110" s="112">
        <f>H109/H107</f>
        <v>1.0287715316370258</v>
      </c>
    </row>
    <row r="111" spans="1:8" ht="16.5" customHeight="1">
      <c r="B111" s="19" t="s">
        <v>405</v>
      </c>
      <c r="C111" s="78" t="s">
        <v>402</v>
      </c>
      <c r="D111" s="71"/>
      <c r="E111" s="71"/>
      <c r="F111" s="71"/>
      <c r="G111" s="77"/>
      <c r="H111" s="112"/>
    </row>
    <row r="112" spans="1:8" ht="16.5" customHeight="1">
      <c r="A112" s="329" t="s">
        <v>1621</v>
      </c>
      <c r="B112" s="19" t="s">
        <v>406</v>
      </c>
      <c r="C112" s="75" t="s">
        <v>392</v>
      </c>
      <c r="D112" s="70" t="s">
        <v>313</v>
      </c>
      <c r="E112" s="70" t="s">
        <v>249</v>
      </c>
      <c r="F112" s="72"/>
      <c r="G112" s="77">
        <f>G81</f>
        <v>140</v>
      </c>
      <c r="H112" s="112">
        <f>H81</f>
        <v>140</v>
      </c>
    </row>
    <row r="113" spans="1:8" ht="16.5" customHeight="1">
      <c r="A113" s="324" t="s">
        <v>1610</v>
      </c>
      <c r="B113" s="19" t="s">
        <v>407</v>
      </c>
      <c r="C113" s="75" t="s">
        <v>393</v>
      </c>
      <c r="D113" s="74" t="s">
        <v>394</v>
      </c>
      <c r="E113" s="70" t="s">
        <v>395</v>
      </c>
      <c r="F113" s="74" t="s">
        <v>396</v>
      </c>
      <c r="G113" s="77">
        <f>G106*(273+G112)/273*101.325/G92</f>
        <v>100792.67913343897</v>
      </c>
      <c r="H113" s="112">
        <f>H106*(273+H112)/273*101.325/H92</f>
        <v>95431.153996064895</v>
      </c>
    </row>
    <row r="114" spans="1:8" ht="16.5" customHeight="1">
      <c r="A114" s="324" t="s">
        <v>1610</v>
      </c>
      <c r="B114" s="19" t="s">
        <v>408</v>
      </c>
      <c r="C114" s="75" t="s">
        <v>397</v>
      </c>
      <c r="D114" s="70" t="s">
        <v>398</v>
      </c>
      <c r="E114" s="70" t="s">
        <v>399</v>
      </c>
      <c r="F114" s="74" t="s">
        <v>400</v>
      </c>
      <c r="G114" s="77">
        <f>G109/G113</f>
        <v>0.72985486384902798</v>
      </c>
      <c r="H114" s="112">
        <f>H109/H113</f>
        <v>0.72985486384902787</v>
      </c>
    </row>
    <row r="115" spans="1:8" ht="16.5" customHeight="1">
      <c r="B115" s="9" t="s">
        <v>409</v>
      </c>
      <c r="C115" s="9" t="s">
        <v>410</v>
      </c>
      <c r="D115" s="9"/>
      <c r="E115" s="9"/>
      <c r="F115" s="9"/>
      <c r="G115" s="9"/>
    </row>
    <row r="116" spans="1:8" ht="16.5" customHeight="1">
      <c r="B116" s="19" t="s">
        <v>29</v>
      </c>
      <c r="C116" s="85" t="s">
        <v>419</v>
      </c>
      <c r="D116" s="81"/>
      <c r="E116" s="81"/>
      <c r="F116" s="81"/>
      <c r="G116" s="84"/>
      <c r="H116"/>
    </row>
    <row r="117" spans="1:8" ht="16.5" customHeight="1">
      <c r="A117" s="374" t="s">
        <v>1620</v>
      </c>
      <c r="B117" s="19" t="s">
        <v>30</v>
      </c>
      <c r="C117" s="10" t="s">
        <v>420</v>
      </c>
      <c r="D117" s="80" t="s">
        <v>304</v>
      </c>
      <c r="E117" s="80" t="s">
        <v>333</v>
      </c>
      <c r="F117" s="80"/>
      <c r="G117" s="84">
        <f>G75</f>
        <v>4.9533270583769831</v>
      </c>
      <c r="H117" s="112">
        <f>H75</f>
        <v>5.348850982805982</v>
      </c>
    </row>
    <row r="118" spans="1:8" ht="16.5" customHeight="1">
      <c r="A118" s="374" t="s">
        <v>1620</v>
      </c>
      <c r="B118" s="19" t="s">
        <v>31</v>
      </c>
      <c r="C118" s="10" t="s">
        <v>421</v>
      </c>
      <c r="D118" s="80" t="s">
        <v>307</v>
      </c>
      <c r="E118" s="80" t="s">
        <v>308</v>
      </c>
      <c r="F118" s="80"/>
      <c r="G118" s="84">
        <f>G76</f>
        <v>6.3451369843100665</v>
      </c>
      <c r="H118" s="112">
        <f>H76</f>
        <v>6.9420579076975075</v>
      </c>
    </row>
    <row r="119" spans="1:8" ht="16.5" customHeight="1">
      <c r="A119" s="374" t="s">
        <v>1620</v>
      </c>
      <c r="B119" s="19" t="s">
        <v>32</v>
      </c>
      <c r="C119" s="10" t="s">
        <v>343</v>
      </c>
      <c r="D119" s="83" t="s">
        <v>335</v>
      </c>
      <c r="E119" s="81" t="s">
        <v>336</v>
      </c>
      <c r="F119" s="82"/>
      <c r="G119" s="84">
        <f>G31</f>
        <v>30856.763806563027</v>
      </c>
      <c r="H119" s="112">
        <f>H31</f>
        <v>26447.244526390139</v>
      </c>
    </row>
    <row r="120" spans="1:8" ht="16.5" customHeight="1">
      <c r="A120" s="284" t="s">
        <v>1150</v>
      </c>
      <c r="B120" s="19" t="s">
        <v>33</v>
      </c>
      <c r="C120" s="10" t="s">
        <v>422</v>
      </c>
      <c r="D120" s="80" t="s">
        <v>411</v>
      </c>
      <c r="E120" s="80" t="s">
        <v>339</v>
      </c>
      <c r="F120" s="80" t="s">
        <v>412</v>
      </c>
      <c r="G120" s="84">
        <f>G119*G117</f>
        <v>152843.64309699621</v>
      </c>
      <c r="H120" s="112">
        <f>H119*H117</f>
        <v>141462.36987749202</v>
      </c>
    </row>
    <row r="121" spans="1:8" ht="16.5" customHeight="1">
      <c r="A121" s="284" t="s">
        <v>1150</v>
      </c>
      <c r="B121" s="19" t="s">
        <v>34</v>
      </c>
      <c r="C121" s="10" t="s">
        <v>533</v>
      </c>
      <c r="D121" s="80" t="s">
        <v>413</v>
      </c>
      <c r="E121" s="80" t="s">
        <v>336</v>
      </c>
      <c r="F121" s="80" t="s">
        <v>414</v>
      </c>
      <c r="G121" s="84">
        <f>G119*G118</f>
        <v>195790.39324514332</v>
      </c>
      <c r="H121" s="112">
        <f>H119*H118</f>
        <v>183598.30300123629</v>
      </c>
    </row>
    <row r="122" spans="1:8" ht="16.5" customHeight="1">
      <c r="A122" s="329" t="s">
        <v>1621</v>
      </c>
      <c r="B122" s="19" t="s">
        <v>35</v>
      </c>
      <c r="C122" s="10" t="s">
        <v>534</v>
      </c>
      <c r="D122" s="80" t="s">
        <v>314</v>
      </c>
      <c r="E122" s="80" t="s">
        <v>249</v>
      </c>
      <c r="F122" s="82" t="s">
        <v>46</v>
      </c>
      <c r="G122" s="244">
        <f>G82</f>
        <v>145</v>
      </c>
      <c r="H122" s="244">
        <f>H82</f>
        <v>145</v>
      </c>
    </row>
    <row r="123" spans="1:8" ht="16.5" customHeight="1">
      <c r="A123" s="324" t="s">
        <v>1610</v>
      </c>
      <c r="B123" s="19" t="s">
        <v>36</v>
      </c>
      <c r="C123" s="10" t="s">
        <v>423</v>
      </c>
      <c r="D123" s="80" t="s">
        <v>415</v>
      </c>
      <c r="E123" s="80" t="s">
        <v>354</v>
      </c>
      <c r="F123" s="80" t="s">
        <v>416</v>
      </c>
      <c r="G123" s="84">
        <f>G120*(273+G122)/273*101.325/G92</f>
        <v>273327.36448812688</v>
      </c>
      <c r="H123" s="112">
        <f>H120*(273+H122)/273*101.325/H92</f>
        <v>252974.45120646543</v>
      </c>
    </row>
    <row r="124" spans="1:8" ht="16.5" customHeight="1">
      <c r="A124" s="324" t="s">
        <v>1610</v>
      </c>
      <c r="B124" s="19" t="s">
        <v>37</v>
      </c>
      <c r="C124" s="10" t="s">
        <v>535</v>
      </c>
      <c r="D124" s="80" t="s">
        <v>417</v>
      </c>
      <c r="E124" s="80" t="s">
        <v>364</v>
      </c>
      <c r="F124" s="80" t="s">
        <v>418</v>
      </c>
      <c r="G124" s="84">
        <f>G121/G123</f>
        <v>0.7163219592440343</v>
      </c>
      <c r="H124" s="112">
        <f>H121/H123</f>
        <v>0.72575828161948375</v>
      </c>
    </row>
    <row r="125" spans="1:8" ht="16.5" customHeight="1">
      <c r="B125" s="19" t="s">
        <v>38</v>
      </c>
      <c r="C125" s="92" t="s">
        <v>436</v>
      </c>
      <c r="D125" s="87"/>
      <c r="E125" s="87"/>
      <c r="F125" s="86"/>
      <c r="G125" s="91"/>
      <c r="H125" s="112"/>
    </row>
    <row r="126" spans="1:8" ht="16.5" customHeight="1">
      <c r="A126" s="329" t="s">
        <v>1619</v>
      </c>
      <c r="B126" s="19" t="s">
        <v>39</v>
      </c>
      <c r="C126" s="10" t="s">
        <v>525</v>
      </c>
      <c r="D126" s="86" t="s">
        <v>105</v>
      </c>
      <c r="E126" s="87"/>
      <c r="F126" s="86"/>
      <c r="G126" s="91">
        <f>G68</f>
        <v>1.36</v>
      </c>
      <c r="H126" s="112">
        <f>H68</f>
        <v>1.36</v>
      </c>
    </row>
    <row r="127" spans="1:8" ht="16.5" customHeight="1">
      <c r="A127" s="329" t="s">
        <v>1621</v>
      </c>
      <c r="B127" s="19" t="s">
        <v>48</v>
      </c>
      <c r="C127" s="10" t="s">
        <v>1625</v>
      </c>
      <c r="D127" s="86" t="s">
        <v>106</v>
      </c>
      <c r="E127" s="86"/>
      <c r="F127" s="89" t="s">
        <v>107</v>
      </c>
      <c r="G127" s="90">
        <f>G69</f>
        <v>0.02</v>
      </c>
      <c r="H127" s="109">
        <f>H69</f>
        <v>0.02</v>
      </c>
    </row>
    <row r="128" spans="1:8" ht="16.5" customHeight="1">
      <c r="A128" s="284" t="s">
        <v>1150</v>
      </c>
      <c r="B128" s="19" t="s">
        <v>49</v>
      </c>
      <c r="C128" s="10" t="s">
        <v>526</v>
      </c>
      <c r="D128" s="86" t="s">
        <v>108</v>
      </c>
      <c r="E128" s="86"/>
      <c r="F128" s="88" t="s">
        <v>109</v>
      </c>
      <c r="G128" s="90">
        <f>G127+G126</f>
        <v>1.3800000000000001</v>
      </c>
      <c r="H128" s="109">
        <f>H127+H126</f>
        <v>1.3800000000000001</v>
      </c>
    </row>
    <row r="129" spans="1:8" ht="16.5" customHeight="1">
      <c r="A129" s="328" t="s">
        <v>1622</v>
      </c>
      <c r="B129" s="19" t="s">
        <v>50</v>
      </c>
      <c r="C129" s="10" t="s">
        <v>530</v>
      </c>
      <c r="D129" s="87" t="s">
        <v>424</v>
      </c>
      <c r="E129" s="86" t="s">
        <v>249</v>
      </c>
      <c r="F129" s="86"/>
      <c r="G129" s="91">
        <v>20</v>
      </c>
      <c r="H129" s="112">
        <v>20</v>
      </c>
    </row>
    <row r="130" spans="1:8" ht="16.5" customHeight="1">
      <c r="A130" s="284" t="s">
        <v>1150</v>
      </c>
      <c r="B130" s="19" t="s">
        <v>51</v>
      </c>
      <c r="C130" s="10" t="s">
        <v>531</v>
      </c>
      <c r="D130" s="87" t="s">
        <v>425</v>
      </c>
      <c r="E130" s="86" t="s">
        <v>249</v>
      </c>
      <c r="F130" s="86" t="s">
        <v>426</v>
      </c>
      <c r="G130" s="91">
        <f>(G126*G82+G127*G129)/G128</f>
        <v>143.18840579710147</v>
      </c>
      <c r="H130" s="112">
        <f>(H126*H82+H127*H129)/H128</f>
        <v>143.18840579710147</v>
      </c>
    </row>
    <row r="131" spans="1:8" ht="16.5" customHeight="1">
      <c r="A131" s="284" t="s">
        <v>1150</v>
      </c>
      <c r="B131" s="19" t="s">
        <v>52</v>
      </c>
      <c r="C131" s="10" t="s">
        <v>437</v>
      </c>
      <c r="D131" s="86" t="s">
        <v>427</v>
      </c>
      <c r="E131" s="86" t="s">
        <v>333</v>
      </c>
      <c r="F131" s="86" t="s">
        <v>441</v>
      </c>
      <c r="G131" s="91">
        <f>G117+G127*G49+0.0161*G49</f>
        <v>5.0645578585809998</v>
      </c>
      <c r="H131" s="112">
        <f>H117+H127*H49+0.0161*H49</f>
        <v>5.4717239068709533</v>
      </c>
    </row>
    <row r="132" spans="1:8" ht="16.5" customHeight="1">
      <c r="A132" s="284" t="s">
        <v>1150</v>
      </c>
      <c r="B132" s="19" t="s">
        <v>53</v>
      </c>
      <c r="C132" s="10" t="s">
        <v>438</v>
      </c>
      <c r="D132" s="86" t="s">
        <v>428</v>
      </c>
      <c r="E132" s="86" t="s">
        <v>308</v>
      </c>
      <c r="F132" s="86" t="s">
        <v>429</v>
      </c>
      <c r="G132" s="91">
        <f>1-G9/100+1.293*(1+G47/100)*G128*G40</f>
        <v>6.64022710514271</v>
      </c>
      <c r="H132" s="112">
        <f>1-H9/100+1.293*(1+H47/100)*H128*H40</f>
        <v>7.2680340396941157</v>
      </c>
    </row>
    <row r="133" spans="1:8" ht="16.5" customHeight="1">
      <c r="A133" s="324" t="s">
        <v>1610</v>
      </c>
      <c r="B133" s="19" t="s">
        <v>54</v>
      </c>
      <c r="C133" s="300" t="s">
        <v>439</v>
      </c>
      <c r="D133" s="86" t="s">
        <v>430</v>
      </c>
      <c r="E133" s="86" t="s">
        <v>339</v>
      </c>
      <c r="F133" s="86" t="s">
        <v>431</v>
      </c>
      <c r="G133" s="54">
        <f>G131*G119</f>
        <v>156275.86562690654</v>
      </c>
      <c r="H133" s="54">
        <f>H131*H119</f>
        <v>144712.02014591088</v>
      </c>
    </row>
    <row r="134" spans="1:8" ht="16.5" customHeight="1">
      <c r="A134" s="324" t="s">
        <v>1610</v>
      </c>
      <c r="B134" s="19" t="s">
        <v>55</v>
      </c>
      <c r="C134" s="10" t="s">
        <v>532</v>
      </c>
      <c r="D134" s="86" t="s">
        <v>432</v>
      </c>
      <c r="E134" s="86" t="s">
        <v>336</v>
      </c>
      <c r="F134" s="86" t="s">
        <v>433</v>
      </c>
      <c r="G134" s="99">
        <f>G132*G119</f>
        <v>204895.91940532636</v>
      </c>
      <c r="H134" s="112">
        <f>H132*H119</f>
        <v>192219.4734739174</v>
      </c>
    </row>
    <row r="135" spans="1:8" ht="16.5" customHeight="1">
      <c r="A135" s="324" t="s">
        <v>1610</v>
      </c>
      <c r="B135" s="19" t="s">
        <v>56</v>
      </c>
      <c r="C135" s="300" t="s">
        <v>440</v>
      </c>
      <c r="D135" s="86" t="s">
        <v>434</v>
      </c>
      <c r="E135" s="86" t="s">
        <v>354</v>
      </c>
      <c r="F135" s="86" t="s">
        <v>435</v>
      </c>
      <c r="G135" s="54">
        <f>G133*(273+G130)*101.325/273/G43</f>
        <v>278253.95238372619</v>
      </c>
      <c r="H135" s="54">
        <f>H133*(273+H130)*101.325/273/H43</f>
        <v>257664.17227318988</v>
      </c>
    </row>
    <row r="136" spans="1:8" ht="16.5" customHeight="1">
      <c r="B136" s="19" t="s">
        <v>57</v>
      </c>
      <c r="C136" s="100" t="s">
        <v>1283</v>
      </c>
      <c r="D136" s="94"/>
      <c r="E136" s="94"/>
      <c r="F136" s="93"/>
      <c r="G136" s="99"/>
      <c r="H136" s="112"/>
    </row>
    <row r="137" spans="1:8" ht="16.5" customHeight="1">
      <c r="A137" s="329" t="s">
        <v>1621</v>
      </c>
      <c r="B137" s="19" t="s">
        <v>126</v>
      </c>
      <c r="C137" s="10" t="s">
        <v>527</v>
      </c>
      <c r="D137" s="95" t="s">
        <v>110</v>
      </c>
      <c r="E137" s="94"/>
      <c r="F137" s="93"/>
      <c r="G137" s="99">
        <f>G71</f>
        <v>0.02</v>
      </c>
      <c r="H137" s="112">
        <f>H71</f>
        <v>0.02</v>
      </c>
    </row>
    <row r="138" spans="1:8" ht="16.5" customHeight="1">
      <c r="A138" s="329" t="s">
        <v>1619</v>
      </c>
      <c r="B138" s="19" t="s">
        <v>127</v>
      </c>
      <c r="C138" s="10" t="s">
        <v>528</v>
      </c>
      <c r="D138" s="93" t="s">
        <v>112</v>
      </c>
      <c r="E138" s="94"/>
      <c r="F138" s="93" t="s">
        <v>442</v>
      </c>
      <c r="G138" s="99">
        <f>G72</f>
        <v>1.4000000000000001</v>
      </c>
      <c r="H138" s="112">
        <f>H72</f>
        <v>1.4000000000000001</v>
      </c>
    </row>
    <row r="139" spans="1:8" ht="16.5" customHeight="1">
      <c r="A139" s="373" t="s">
        <v>1619</v>
      </c>
      <c r="B139" s="19" t="s">
        <v>128</v>
      </c>
      <c r="C139" s="10" t="s">
        <v>536</v>
      </c>
      <c r="D139" s="94" t="s">
        <v>443</v>
      </c>
      <c r="E139" s="93" t="s">
        <v>249</v>
      </c>
      <c r="F139" s="93" t="s">
        <v>444</v>
      </c>
      <c r="G139" s="101">
        <f>G130</f>
        <v>143.18840579710147</v>
      </c>
      <c r="H139" s="244">
        <f>H130</f>
        <v>143.18840579710147</v>
      </c>
    </row>
    <row r="140" spans="1:8" ht="16.5" customHeight="1">
      <c r="A140" s="284" t="s">
        <v>1150</v>
      </c>
      <c r="B140" s="19" t="s">
        <v>129</v>
      </c>
      <c r="C140" s="10" t="s">
        <v>481</v>
      </c>
      <c r="D140" s="93" t="s">
        <v>445</v>
      </c>
      <c r="E140" s="93" t="s">
        <v>333</v>
      </c>
      <c r="F140" s="93" t="s">
        <v>446</v>
      </c>
      <c r="G140" s="99">
        <f>G131+(G137+0.0161)*G49</f>
        <v>5.1757886587850166</v>
      </c>
      <c r="H140" s="112">
        <f>H131+(H137+0.0161)*H49</f>
        <v>5.5945968309359246</v>
      </c>
    </row>
    <row r="141" spans="1:8" ht="16.5" customHeight="1">
      <c r="A141" s="284" t="s">
        <v>1150</v>
      </c>
      <c r="B141" s="19" t="s">
        <v>403</v>
      </c>
      <c r="C141" s="10" t="s">
        <v>482</v>
      </c>
      <c r="D141" s="93" t="s">
        <v>447</v>
      </c>
      <c r="E141" s="93" t="s">
        <v>308</v>
      </c>
      <c r="F141" s="93" t="s">
        <v>448</v>
      </c>
      <c r="G141" s="99">
        <f>1-G9/100+1.293*(1+G47/100)*G138*G40</f>
        <v>6.7228231501447784</v>
      </c>
      <c r="H141" s="112">
        <f>1-H9/100+1.293*(1+H47/100)*H138*H40</f>
        <v>7.3592751127331608</v>
      </c>
    </row>
    <row r="142" spans="1:8" ht="16.5" customHeight="1">
      <c r="A142" s="284" t="s">
        <v>1150</v>
      </c>
      <c r="B142" s="19" t="s">
        <v>404</v>
      </c>
      <c r="C142" s="10" t="s">
        <v>483</v>
      </c>
      <c r="D142" s="93" t="s">
        <v>449</v>
      </c>
      <c r="E142" s="93" t="s">
        <v>339</v>
      </c>
      <c r="F142" s="93" t="s">
        <v>450</v>
      </c>
      <c r="G142" s="99">
        <f>G140*G119</f>
        <v>159708.0881568169</v>
      </c>
      <c r="H142" s="112">
        <f>H140*H119</f>
        <v>147961.67041432974</v>
      </c>
    </row>
    <row r="143" spans="1:8" ht="16.5" customHeight="1">
      <c r="A143" s="324" t="s">
        <v>1610</v>
      </c>
      <c r="B143" s="19" t="s">
        <v>405</v>
      </c>
      <c r="C143" s="10" t="s">
        <v>484</v>
      </c>
      <c r="D143" s="93" t="s">
        <v>451</v>
      </c>
      <c r="E143" s="93" t="s">
        <v>336</v>
      </c>
      <c r="F143" s="93" t="s">
        <v>452</v>
      </c>
      <c r="G143" s="99">
        <f>G141*G119</f>
        <v>207444.56605731143</v>
      </c>
      <c r="H143" s="112">
        <f>H141*H119</f>
        <v>194632.54844343127</v>
      </c>
    </row>
    <row r="144" spans="1:8" ht="16.5" customHeight="1">
      <c r="A144" s="324" t="s">
        <v>1610</v>
      </c>
      <c r="B144" s="19" t="s">
        <v>406</v>
      </c>
      <c r="C144" s="10" t="s">
        <v>485</v>
      </c>
      <c r="D144" s="93" t="s">
        <v>453</v>
      </c>
      <c r="E144" s="93" t="s">
        <v>354</v>
      </c>
      <c r="F144" s="93" t="s">
        <v>454</v>
      </c>
      <c r="G144" s="99">
        <f>G142*(273+G139)/273*101.325/G43</f>
        <v>284365.1294396132</v>
      </c>
      <c r="H144" s="112">
        <f>H142*(273+H139)/273*101.325/H43</f>
        <v>263450.27384060109</v>
      </c>
    </row>
    <row r="145" spans="1:8" ht="16.5" customHeight="1">
      <c r="A145" s="324" t="s">
        <v>1610</v>
      </c>
      <c r="B145" s="19" t="s">
        <v>407</v>
      </c>
      <c r="C145" s="10" t="s">
        <v>535</v>
      </c>
      <c r="D145" s="93" t="s">
        <v>455</v>
      </c>
      <c r="E145" s="93" t="s">
        <v>364</v>
      </c>
      <c r="F145" s="93" t="s">
        <v>456</v>
      </c>
      <c r="G145" s="99">
        <f>G143/G144</f>
        <v>0.72950071784861248</v>
      </c>
      <c r="H145" s="112">
        <f>H143/H144</f>
        <v>0.73878286633018442</v>
      </c>
    </row>
    <row r="146" spans="1:8" ht="16.5" customHeight="1">
      <c r="B146" s="19" t="s">
        <v>408</v>
      </c>
      <c r="C146" s="100" t="s">
        <v>1282</v>
      </c>
      <c r="D146" s="93"/>
      <c r="E146" s="93"/>
      <c r="F146" s="93"/>
      <c r="G146" s="99"/>
      <c r="H146" s="112"/>
    </row>
    <row r="147" spans="1:8" ht="16.5" customHeight="1">
      <c r="A147" s="329" t="s">
        <v>1621</v>
      </c>
      <c r="B147" s="19" t="s">
        <v>491</v>
      </c>
      <c r="C147" s="10" t="s">
        <v>318</v>
      </c>
      <c r="D147" s="93" t="s">
        <v>457</v>
      </c>
      <c r="E147" s="93"/>
      <c r="F147" s="96" t="s">
        <v>107</v>
      </c>
      <c r="G147" s="97">
        <f>G73</f>
        <v>0.03</v>
      </c>
      <c r="H147" s="109">
        <f>H73</f>
        <v>0.03</v>
      </c>
    </row>
    <row r="148" spans="1:8" ht="16.5" customHeight="1">
      <c r="A148" s="329" t="s">
        <v>1619</v>
      </c>
      <c r="B148" s="19" t="s">
        <v>492</v>
      </c>
      <c r="C148" s="10" t="s">
        <v>529</v>
      </c>
      <c r="D148" s="93" t="s">
        <v>113</v>
      </c>
      <c r="E148" s="93"/>
      <c r="F148" s="93" t="s">
        <v>458</v>
      </c>
      <c r="G148" s="98">
        <f>G74</f>
        <v>1.4300000000000002</v>
      </c>
      <c r="H148" s="110">
        <f>H74</f>
        <v>1.4300000000000002</v>
      </c>
    </row>
    <row r="149" spans="1:8" ht="16.5" customHeight="1">
      <c r="A149" s="324" t="s">
        <v>1610</v>
      </c>
      <c r="B149" s="19" t="s">
        <v>493</v>
      </c>
      <c r="C149" s="300" t="s">
        <v>537</v>
      </c>
      <c r="D149" s="94" t="s">
        <v>459</v>
      </c>
      <c r="E149" s="93" t="s">
        <v>249</v>
      </c>
      <c r="F149" s="93" t="s">
        <v>460</v>
      </c>
      <c r="G149" s="99">
        <f>(G138*G139+G147*G129)/G148</f>
        <v>140.6040336475119</v>
      </c>
      <c r="H149" s="112">
        <f>(H138*H139+H147*H129)/H148</f>
        <v>140.6040336475119</v>
      </c>
    </row>
    <row r="150" spans="1:8" ht="16.5" customHeight="1">
      <c r="A150" s="284" t="s">
        <v>1150</v>
      </c>
      <c r="B150" s="19" t="s">
        <v>494</v>
      </c>
      <c r="C150" s="10" t="s">
        <v>486</v>
      </c>
      <c r="D150" s="93" t="s">
        <v>461</v>
      </c>
      <c r="E150" s="93" t="s">
        <v>333</v>
      </c>
      <c r="F150" s="93" t="s">
        <v>462</v>
      </c>
      <c r="G150" s="99">
        <f>G140+(G147+0.0161)*G49</f>
        <v>5.317831315001226</v>
      </c>
      <c r="H150" s="112">
        <f>H140+(H147+0.0161)*H49</f>
        <v>5.7515065760715256</v>
      </c>
    </row>
    <row r="151" spans="1:8" ht="16.5" customHeight="1">
      <c r="A151" s="284" t="s">
        <v>1150</v>
      </c>
      <c r="B151" s="19" t="s">
        <v>495</v>
      </c>
      <c r="C151" s="10" t="s">
        <v>487</v>
      </c>
      <c r="D151" s="93" t="s">
        <v>463</v>
      </c>
      <c r="E151" s="93" t="s">
        <v>308</v>
      </c>
      <c r="F151" s="93" t="s">
        <v>464</v>
      </c>
      <c r="G151" s="99">
        <f>1-G9/100+1.293*(1+G47/100)*G148*G40</f>
        <v>6.8467172176478801</v>
      </c>
      <c r="H151" s="112">
        <f>1-H9/100+1.293*(1+H47/100)*H148*H40</f>
        <v>7.4961367222917286</v>
      </c>
    </row>
    <row r="152" spans="1:8" ht="16.5" customHeight="1">
      <c r="A152" s="284" t="s">
        <v>1150</v>
      </c>
      <c r="B152" s="19" t="s">
        <v>496</v>
      </c>
      <c r="C152" s="300" t="s">
        <v>488</v>
      </c>
      <c r="D152" s="93" t="s">
        <v>465</v>
      </c>
      <c r="E152" s="93" t="s">
        <v>339</v>
      </c>
      <c r="F152" s="93" t="s">
        <v>466</v>
      </c>
      <c r="G152" s="54">
        <f>G150*G119</f>
        <v>164091.06485013731</v>
      </c>
      <c r="H152" s="54">
        <f>H150*H119</f>
        <v>152111.50081250456</v>
      </c>
    </row>
    <row r="153" spans="1:8" ht="16.5" customHeight="1">
      <c r="A153" s="284" t="s">
        <v>1150</v>
      </c>
      <c r="B153" s="19" t="s">
        <v>497</v>
      </c>
      <c r="C153" s="10" t="s">
        <v>488</v>
      </c>
      <c r="D153" s="93"/>
      <c r="E153" s="93" t="s">
        <v>467</v>
      </c>
      <c r="F153" s="93" t="s">
        <v>468</v>
      </c>
      <c r="G153" s="99">
        <f>G152/3600</f>
        <v>45.580851347260364</v>
      </c>
      <c r="H153" s="112">
        <f>H152/3600</f>
        <v>42.253194670140154</v>
      </c>
    </row>
    <row r="154" spans="1:8" ht="16.5" customHeight="1">
      <c r="A154" s="284" t="s">
        <v>1150</v>
      </c>
      <c r="B154" s="19" t="s">
        <v>498</v>
      </c>
      <c r="C154" s="10" t="s">
        <v>1628</v>
      </c>
      <c r="D154" s="94" t="s">
        <v>469</v>
      </c>
      <c r="E154" s="93" t="s">
        <v>336</v>
      </c>
      <c r="F154" s="93" t="s">
        <v>470</v>
      </c>
      <c r="G154" s="99">
        <f>G151*G119</f>
        <v>211267.53603528903</v>
      </c>
      <c r="H154" s="112">
        <f>H151*H119</f>
        <v>198252.16089770204</v>
      </c>
    </row>
    <row r="155" spans="1:8" ht="16.5" customHeight="1">
      <c r="A155" s="324" t="s">
        <v>1610</v>
      </c>
      <c r="B155" s="19" t="s">
        <v>499</v>
      </c>
      <c r="C155" s="300" t="s">
        <v>489</v>
      </c>
      <c r="D155" s="93" t="s">
        <v>471</v>
      </c>
      <c r="E155" s="93" t="s">
        <v>354</v>
      </c>
      <c r="F155" s="93" t="s">
        <v>472</v>
      </c>
      <c r="G155" s="54">
        <f>G152*(273+G149)/273*101.325/G43</f>
        <v>290354.89369607874</v>
      </c>
      <c r="H155" s="54">
        <f>H152*(273+H149)/273*101.325/H43</f>
        <v>269157.36508080078</v>
      </c>
    </row>
    <row r="156" spans="1:8" ht="16.5" customHeight="1">
      <c r="A156" s="324" t="s">
        <v>1610</v>
      </c>
      <c r="B156" s="19" t="s">
        <v>500</v>
      </c>
      <c r="C156" s="10" t="s">
        <v>489</v>
      </c>
      <c r="D156" s="93" t="s">
        <v>473</v>
      </c>
      <c r="E156" s="93" t="s">
        <v>474</v>
      </c>
      <c r="F156" s="93" t="s">
        <v>475</v>
      </c>
      <c r="G156" s="99">
        <f>G155/3600</f>
        <v>80.654137137799651</v>
      </c>
      <c r="H156" s="112">
        <f>H155/3600</f>
        <v>74.765934744666879</v>
      </c>
    </row>
    <row r="157" spans="1:8" ht="16.5" customHeight="1">
      <c r="A157" s="324" t="s">
        <v>1610</v>
      </c>
      <c r="B157" s="19" t="s">
        <v>501</v>
      </c>
      <c r="C157" s="10" t="s">
        <v>535</v>
      </c>
      <c r="D157" s="93" t="s">
        <v>476</v>
      </c>
      <c r="E157" s="93" t="s">
        <v>364</v>
      </c>
      <c r="F157" s="93" t="s">
        <v>477</v>
      </c>
      <c r="G157" s="54">
        <f>G154/G155</f>
        <v>0.72761830650055337</v>
      </c>
      <c r="H157" s="54">
        <f>H154/H155</f>
        <v>0.73656598933559525</v>
      </c>
    </row>
    <row r="158" spans="1:8" ht="16.5" customHeight="1">
      <c r="A158" s="284" t="s">
        <v>1150</v>
      </c>
      <c r="B158" s="19" t="s">
        <v>502</v>
      </c>
      <c r="C158" s="10" t="s">
        <v>490</v>
      </c>
      <c r="D158" s="94" t="s">
        <v>478</v>
      </c>
      <c r="E158" s="96" t="s">
        <v>479</v>
      </c>
      <c r="F158" s="93" t="s">
        <v>480</v>
      </c>
      <c r="G158" s="54">
        <f>G154/G152</f>
        <v>1.2875017675596019</v>
      </c>
      <c r="H158" s="54">
        <f>H154/H152</f>
        <v>1.3033344608312774</v>
      </c>
    </row>
    <row r="159" spans="1:8" ht="16.5" customHeight="1">
      <c r="B159" s="9" t="s">
        <v>503</v>
      </c>
      <c r="C159" s="9" t="s">
        <v>504</v>
      </c>
      <c r="D159" s="9"/>
      <c r="E159" s="9"/>
      <c r="F159" s="9"/>
      <c r="G159" s="9"/>
      <c r="H159" s="9"/>
    </row>
    <row r="160" spans="1:8" ht="16.5" customHeight="1">
      <c r="A160" s="284" t="s">
        <v>1150</v>
      </c>
      <c r="B160" s="19" t="s">
        <v>29</v>
      </c>
      <c r="C160" s="10" t="s">
        <v>538</v>
      </c>
      <c r="D160" s="102" t="s">
        <v>505</v>
      </c>
      <c r="E160" s="102" t="s">
        <v>506</v>
      </c>
      <c r="F160" s="102" t="s">
        <v>507</v>
      </c>
      <c r="G160" s="112">
        <f>0.21*(G148-1)*G40</f>
        <v>0.27629118090000016</v>
      </c>
      <c r="H160" s="112">
        <f>0.21*(H148-1)*H40</f>
        <v>0.30520957530000015</v>
      </c>
    </row>
    <row r="161" spans="1:8" ht="16.5" customHeight="1">
      <c r="A161" s="284" t="s">
        <v>1150</v>
      </c>
      <c r="B161" s="19" t="s">
        <v>30</v>
      </c>
      <c r="C161" s="10" t="s">
        <v>539</v>
      </c>
      <c r="D161" s="102" t="s">
        <v>508</v>
      </c>
      <c r="E161" s="102" t="s">
        <v>331</v>
      </c>
      <c r="F161" s="102" t="s">
        <v>509</v>
      </c>
      <c r="G161" s="111">
        <f>G51+G52</f>
        <v>3.0543871200000008</v>
      </c>
      <c r="H161" s="111">
        <f>H51+H52</f>
        <v>3.3990255650000005</v>
      </c>
    </row>
    <row r="162" spans="1:8" ht="16.5" customHeight="1">
      <c r="A162" s="329" t="s">
        <v>1619</v>
      </c>
      <c r="B162" s="19" t="s">
        <v>31</v>
      </c>
      <c r="C162" s="10" t="s">
        <v>540</v>
      </c>
      <c r="D162" s="102" t="s">
        <v>510</v>
      </c>
      <c r="E162" s="102" t="s">
        <v>331</v>
      </c>
      <c r="F162" s="102" t="s">
        <v>511</v>
      </c>
      <c r="G162" s="109">
        <f>G40</f>
        <v>3.0597030000000007</v>
      </c>
      <c r="H162" s="109">
        <f>H40</f>
        <v>3.3799510000000001</v>
      </c>
    </row>
    <row r="163" spans="1:8" ht="16.5" customHeight="1">
      <c r="A163" s="374" t="s">
        <v>1620</v>
      </c>
      <c r="B163" s="19" t="s">
        <v>32</v>
      </c>
      <c r="C163" s="10" t="s">
        <v>541</v>
      </c>
      <c r="D163" s="105" t="s">
        <v>85</v>
      </c>
      <c r="E163" s="103" t="s">
        <v>336</v>
      </c>
      <c r="F163" s="104" t="s">
        <v>337</v>
      </c>
      <c r="G163" s="112">
        <f>G119</f>
        <v>30856.763806563027</v>
      </c>
      <c r="H163" s="112">
        <f>H119</f>
        <v>26447.244526390139</v>
      </c>
    </row>
    <row r="164" spans="1:8" ht="16.5" customHeight="1">
      <c r="A164" s="329" t="s">
        <v>1619</v>
      </c>
      <c r="B164" s="19" t="s">
        <v>33</v>
      </c>
      <c r="C164" s="10" t="s">
        <v>315</v>
      </c>
      <c r="D164" s="102" t="s">
        <v>113</v>
      </c>
      <c r="E164" s="102"/>
      <c r="F164" s="102" t="s">
        <v>458</v>
      </c>
      <c r="G164" s="110">
        <f>G74</f>
        <v>1.4300000000000002</v>
      </c>
      <c r="H164" s="110">
        <f>H74</f>
        <v>1.4300000000000002</v>
      </c>
    </row>
    <row r="165" spans="1:8" ht="16.5" customHeight="1">
      <c r="A165" s="284" t="s">
        <v>1150</v>
      </c>
      <c r="B165" s="19" t="s">
        <v>34</v>
      </c>
      <c r="C165" s="10" t="s">
        <v>1629</v>
      </c>
      <c r="D165" s="242" t="s">
        <v>1626</v>
      </c>
      <c r="E165" s="102" t="s">
        <v>331</v>
      </c>
      <c r="F165" s="102" t="s">
        <v>512</v>
      </c>
      <c r="G165" s="112">
        <f>G161+(G164-1)*G162</f>
        <v>4.3700594100000014</v>
      </c>
      <c r="H165" s="112">
        <f>H161+(H164-1)*H162</f>
        <v>4.8524044950000009</v>
      </c>
    </row>
    <row r="166" spans="1:8" ht="16.5" customHeight="1">
      <c r="A166" s="284" t="s">
        <v>1150</v>
      </c>
      <c r="B166" s="19" t="s">
        <v>35</v>
      </c>
      <c r="C166" s="10" t="s">
        <v>1630</v>
      </c>
      <c r="D166" s="102" t="s">
        <v>513</v>
      </c>
      <c r="E166" s="102" t="s">
        <v>339</v>
      </c>
      <c r="F166" s="243" t="s">
        <v>1627</v>
      </c>
      <c r="G166" s="112">
        <f>G165*G163</f>
        <v>134845.89103501823</v>
      </c>
      <c r="H166" s="112">
        <f>H165*H163</f>
        <v>128332.72822021968</v>
      </c>
    </row>
    <row r="167" spans="1:8" ht="16.5" customHeight="1">
      <c r="A167" s="324" t="s">
        <v>1610</v>
      </c>
      <c r="B167" s="19" t="s">
        <v>36</v>
      </c>
      <c r="C167" s="10" t="s">
        <v>542</v>
      </c>
      <c r="D167" s="102" t="s">
        <v>514</v>
      </c>
      <c r="E167" s="103" t="s">
        <v>244</v>
      </c>
      <c r="F167" s="102" t="s">
        <v>515</v>
      </c>
      <c r="G167" s="54">
        <f>G160/G165*100</f>
        <v>6.322366699815646</v>
      </c>
      <c r="H167" s="54">
        <f>H160/H165*100</f>
        <v>6.289862595224557</v>
      </c>
    </row>
    <row r="168" spans="1:8" ht="21" customHeight="1" thickBot="1">
      <c r="A168" s="324" t="s">
        <v>1610</v>
      </c>
      <c r="B168" s="19" t="s">
        <v>37</v>
      </c>
      <c r="C168" s="10" t="s">
        <v>543</v>
      </c>
      <c r="D168" s="106" t="s">
        <v>1457</v>
      </c>
      <c r="E168" s="107" t="s">
        <v>339</v>
      </c>
      <c r="F168" s="108" t="s">
        <v>516</v>
      </c>
      <c r="G168" s="113">
        <f>G166*(21-G167)/(21-6)</f>
        <v>131947.90270990762</v>
      </c>
      <c r="H168" s="113">
        <f>H166*(21-H167)/(21-6)</f>
        <v>125852.80437660897</v>
      </c>
    </row>
  </sheetData>
  <mergeCells count="20">
    <mergeCell ref="M47:M48"/>
    <mergeCell ref="N47:N48"/>
    <mergeCell ref="M26:N26"/>
    <mergeCell ref="M39:M40"/>
    <mergeCell ref="M41:M42"/>
    <mergeCell ref="M45:M46"/>
    <mergeCell ref="N45:N46"/>
    <mergeCell ref="C14:C15"/>
    <mergeCell ref="B2:B3"/>
    <mergeCell ref="B14:B15"/>
    <mergeCell ref="F2:F3"/>
    <mergeCell ref="C2:C3"/>
    <mergeCell ref="D2:D3"/>
    <mergeCell ref="E2:E3"/>
    <mergeCell ref="O20:P20"/>
    <mergeCell ref="G2:H2"/>
    <mergeCell ref="M20:N20"/>
    <mergeCell ref="L20:L21"/>
    <mergeCell ref="L15:O15"/>
    <mergeCell ref="L16:O17"/>
  </mergeCells>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sheetPr>
    <tabColor theme="7" tint="-0.249977111117893"/>
  </sheetPr>
  <dimension ref="A1:S74"/>
  <sheetViews>
    <sheetView topLeftCell="A46" zoomScale="115" zoomScaleNormal="115" workbookViewId="0">
      <selection activeCell="F56" sqref="F56"/>
    </sheetView>
  </sheetViews>
  <sheetFormatPr defaultRowHeight="13.5"/>
  <cols>
    <col min="1" max="1" width="34.375" customWidth="1"/>
    <col min="3" max="3" width="21.25" customWidth="1"/>
    <col min="6" max="6" width="48" customWidth="1"/>
    <col min="7" max="7" width="15" style="146" bestFit="1" customWidth="1"/>
    <col min="8" max="8" width="9.875" customWidth="1"/>
    <col min="12" max="12" width="15.625" customWidth="1"/>
    <col min="13" max="13" width="29.625" customWidth="1"/>
    <col min="14" max="14" width="30.125" customWidth="1"/>
    <col min="17" max="17" width="43.25" customWidth="1"/>
    <col min="18" max="19" width="9.5" bestFit="1" customWidth="1"/>
  </cols>
  <sheetData>
    <row r="1" spans="1:19" ht="14.25">
      <c r="B1" s="248" t="s">
        <v>1159</v>
      </c>
      <c r="C1" s="248"/>
      <c r="D1" s="248"/>
      <c r="E1" s="248"/>
      <c r="F1" s="248"/>
      <c r="G1" s="453"/>
      <c r="H1" s="6"/>
    </row>
    <row r="2" spans="1:19">
      <c r="B2" s="327" t="s">
        <v>832</v>
      </c>
      <c r="C2" s="25" t="s">
        <v>174</v>
      </c>
      <c r="D2" s="25" t="s">
        <v>175</v>
      </c>
      <c r="E2" s="25" t="s">
        <v>176</v>
      </c>
      <c r="F2" s="25" t="s">
        <v>177</v>
      </c>
      <c r="G2" s="130" t="s">
        <v>1128</v>
      </c>
      <c r="H2" s="267" t="s">
        <v>1129</v>
      </c>
      <c r="M2" s="5" t="s">
        <v>1660</v>
      </c>
      <c r="N2" s="336" t="s">
        <v>1688</v>
      </c>
    </row>
    <row r="3" spans="1:19" ht="13.5" customHeight="1">
      <c r="A3" s="339" t="s">
        <v>1677</v>
      </c>
      <c r="B3" s="129" t="s">
        <v>136</v>
      </c>
      <c r="C3" s="25" t="s">
        <v>1161</v>
      </c>
      <c r="D3" s="25" t="s">
        <v>235</v>
      </c>
      <c r="E3" s="25" t="s">
        <v>236</v>
      </c>
      <c r="F3" s="25"/>
      <c r="G3" s="439">
        <f>锅炉计算!G30/1000</f>
        <v>31.168448289457604</v>
      </c>
      <c r="H3" s="439">
        <f>锅炉计算!H30/1000</f>
        <v>26.71438841049509</v>
      </c>
      <c r="M3" s="5" t="s">
        <v>1662</v>
      </c>
      <c r="N3" s="455">
        <v>7200</v>
      </c>
      <c r="O3" s="454"/>
      <c r="P3" s="454"/>
      <c r="Q3" s="454"/>
      <c r="R3" s="454"/>
      <c r="S3" s="454"/>
    </row>
    <row r="4" spans="1:19">
      <c r="A4" s="368" t="s">
        <v>1678</v>
      </c>
      <c r="B4" s="129" t="s">
        <v>140</v>
      </c>
      <c r="C4" s="25" t="s">
        <v>665</v>
      </c>
      <c r="D4" s="25" t="s">
        <v>666</v>
      </c>
      <c r="E4" s="25" t="s">
        <v>667</v>
      </c>
      <c r="F4" s="450" t="s">
        <v>1686</v>
      </c>
      <c r="G4" s="439">
        <v>24</v>
      </c>
      <c r="H4" s="439">
        <v>24</v>
      </c>
      <c r="M4" s="5" t="s">
        <v>1663</v>
      </c>
      <c r="N4" s="455"/>
      <c r="O4" s="452"/>
      <c r="P4" s="452"/>
      <c r="Q4" s="452"/>
      <c r="R4" s="452"/>
      <c r="S4" s="452"/>
    </row>
    <row r="5" spans="1:19">
      <c r="A5" s="337" t="s">
        <v>1679</v>
      </c>
      <c r="B5" s="129" t="s">
        <v>144</v>
      </c>
      <c r="C5" s="25" t="s">
        <v>1162</v>
      </c>
      <c r="D5" s="25" t="s">
        <v>668</v>
      </c>
      <c r="E5" s="25" t="s">
        <v>669</v>
      </c>
      <c r="F5" s="25" t="s">
        <v>670</v>
      </c>
      <c r="G5" s="18">
        <f>G3*G4</f>
        <v>748.04275894698253</v>
      </c>
      <c r="H5" s="18">
        <f>H3*H4</f>
        <v>641.14532185188216</v>
      </c>
      <c r="M5" s="5" t="s">
        <v>1664</v>
      </c>
      <c r="N5" s="336">
        <v>7500</v>
      </c>
      <c r="O5" s="452"/>
      <c r="P5" s="452"/>
      <c r="Q5" s="452"/>
      <c r="R5" s="452"/>
      <c r="S5" s="452"/>
    </row>
    <row r="6" spans="1:19">
      <c r="A6" s="368" t="s">
        <v>1678</v>
      </c>
      <c r="B6" s="129" t="s">
        <v>148</v>
      </c>
      <c r="C6" s="25" t="s">
        <v>671</v>
      </c>
      <c r="D6" s="25" t="s">
        <v>672</v>
      </c>
      <c r="E6" s="25" t="s">
        <v>237</v>
      </c>
      <c r="F6" s="450" t="s">
        <v>1685</v>
      </c>
      <c r="G6" s="288">
        <v>7200</v>
      </c>
      <c r="H6" s="288">
        <v>7200</v>
      </c>
      <c r="M6" s="5" t="s">
        <v>1665</v>
      </c>
      <c r="N6" s="336">
        <v>8000</v>
      </c>
    </row>
    <row r="7" spans="1:19">
      <c r="A7" s="337" t="s">
        <v>1679</v>
      </c>
      <c r="B7" s="129" t="s">
        <v>151</v>
      </c>
      <c r="C7" s="25" t="s">
        <v>1163</v>
      </c>
      <c r="D7" s="25" t="s">
        <v>673</v>
      </c>
      <c r="E7" s="25" t="s">
        <v>1111</v>
      </c>
      <c r="F7" s="25" t="s">
        <v>674</v>
      </c>
      <c r="G7" s="258">
        <f>G6*G3/10000</f>
        <v>22.441282768409476</v>
      </c>
      <c r="H7" s="258">
        <f>H6*H3/10000</f>
        <v>19.234359655556464</v>
      </c>
    </row>
    <row r="8" spans="1:19">
      <c r="A8" s="369" t="s">
        <v>1607</v>
      </c>
      <c r="B8" s="129" t="s">
        <v>188</v>
      </c>
      <c r="C8" s="450" t="s">
        <v>1682</v>
      </c>
      <c r="D8" s="25" t="s">
        <v>675</v>
      </c>
      <c r="E8" s="25"/>
      <c r="F8" s="450" t="s">
        <v>1680</v>
      </c>
      <c r="G8" s="5">
        <v>1.2</v>
      </c>
      <c r="H8" s="5">
        <v>1.2</v>
      </c>
    </row>
    <row r="9" spans="1:19">
      <c r="A9" s="337" t="s">
        <v>1679</v>
      </c>
      <c r="B9" s="278" t="s">
        <v>1160</v>
      </c>
      <c r="C9" s="450" t="s">
        <v>1683</v>
      </c>
      <c r="D9" s="25" t="s">
        <v>676</v>
      </c>
      <c r="E9" s="25" t="s">
        <v>677</v>
      </c>
      <c r="F9" s="25" t="s">
        <v>678</v>
      </c>
      <c r="G9" s="145">
        <f>G8*G7*10000*G4/G6</f>
        <v>897.65131073637906</v>
      </c>
      <c r="H9" s="145">
        <f>H8*H7*10000*H4/H6</f>
        <v>769.37438622225852</v>
      </c>
    </row>
    <row r="10" spans="1:19">
      <c r="A10" s="369" t="s">
        <v>1607</v>
      </c>
      <c r="B10" s="278" t="s">
        <v>1164</v>
      </c>
      <c r="C10" s="450" t="s">
        <v>1166</v>
      </c>
      <c r="D10" s="25" t="s">
        <v>1169</v>
      </c>
      <c r="E10" s="25" t="s">
        <v>1168</v>
      </c>
      <c r="F10" s="450" t="s">
        <v>1684</v>
      </c>
      <c r="G10" s="451">
        <v>10</v>
      </c>
      <c r="H10" s="451">
        <v>10</v>
      </c>
    </row>
    <row r="11" spans="1:19">
      <c r="A11" s="337" t="s">
        <v>1679</v>
      </c>
      <c r="B11" s="278" t="s">
        <v>1165</v>
      </c>
      <c r="C11" s="450" t="s">
        <v>1681</v>
      </c>
      <c r="D11" s="25" t="s">
        <v>1172</v>
      </c>
      <c r="E11" s="25" t="s">
        <v>1170</v>
      </c>
      <c r="F11" s="25" t="s">
        <v>1171</v>
      </c>
      <c r="G11" s="145">
        <f>G9/G10</f>
        <v>89.765131073637903</v>
      </c>
      <c r="H11" s="145">
        <f>H9/H10</f>
        <v>76.937438622225855</v>
      </c>
    </row>
    <row r="12" spans="1:19" ht="14.25">
      <c r="B12" s="248" t="s">
        <v>1687</v>
      </c>
      <c r="C12" s="248"/>
      <c r="D12" s="276"/>
      <c r="E12" s="276"/>
      <c r="F12" s="276"/>
      <c r="G12" s="278"/>
      <c r="H12" s="278"/>
    </row>
    <row r="13" spans="1:19">
      <c r="B13" s="276" t="s">
        <v>1175</v>
      </c>
      <c r="C13" s="289" t="s">
        <v>1176</v>
      </c>
      <c r="D13" s="289" t="s">
        <v>1177</v>
      </c>
      <c r="E13" s="289" t="s">
        <v>1178</v>
      </c>
      <c r="F13" s="289" t="s">
        <v>1179</v>
      </c>
      <c r="G13" s="278" t="s">
        <v>1180</v>
      </c>
      <c r="H13" s="278" t="s">
        <v>1181</v>
      </c>
    </row>
    <row r="14" spans="1:19">
      <c r="A14" s="368" t="s">
        <v>1678</v>
      </c>
      <c r="B14" s="276" t="s">
        <v>1184</v>
      </c>
      <c r="C14" s="289" t="s">
        <v>1182</v>
      </c>
      <c r="D14" s="289" t="s">
        <v>1216</v>
      </c>
      <c r="E14" s="289" t="s">
        <v>1183</v>
      </c>
      <c r="F14" s="289" t="s">
        <v>1690</v>
      </c>
      <c r="G14" s="456">
        <v>8</v>
      </c>
      <c r="H14" s="456">
        <v>8</v>
      </c>
    </row>
    <row r="15" spans="1:19">
      <c r="A15" s="337" t="s">
        <v>1679</v>
      </c>
      <c r="B15" s="276" t="s">
        <v>1185</v>
      </c>
      <c r="C15" s="289" t="s">
        <v>1186</v>
      </c>
      <c r="D15" s="289" t="s">
        <v>1217</v>
      </c>
      <c r="E15" s="289" t="s">
        <v>1167</v>
      </c>
      <c r="F15" s="289" t="s">
        <v>1187</v>
      </c>
      <c r="G15" s="115">
        <f>G5*8</f>
        <v>5984.3420715758602</v>
      </c>
      <c r="H15" s="115">
        <f>H5*8</f>
        <v>5129.1625748150573</v>
      </c>
    </row>
    <row r="16" spans="1:19">
      <c r="A16" s="369" t="s">
        <v>1607</v>
      </c>
      <c r="B16" s="276" t="s">
        <v>1188</v>
      </c>
      <c r="C16" s="289" t="s">
        <v>1458</v>
      </c>
      <c r="D16" s="289" t="s">
        <v>1218</v>
      </c>
      <c r="E16" s="289" t="s">
        <v>1198</v>
      </c>
      <c r="F16" s="289" t="s">
        <v>1689</v>
      </c>
      <c r="G16" s="5">
        <v>0.65</v>
      </c>
      <c r="H16" s="5">
        <v>0.65</v>
      </c>
    </row>
    <row r="17" spans="1:8">
      <c r="A17" s="368" t="s">
        <v>1678</v>
      </c>
      <c r="B17" s="276" t="s">
        <v>1190</v>
      </c>
      <c r="C17" s="289" t="s">
        <v>1459</v>
      </c>
      <c r="D17" s="289" t="s">
        <v>1219</v>
      </c>
      <c r="E17" s="289" t="s">
        <v>1195</v>
      </c>
      <c r="F17" s="289" t="s">
        <v>1691</v>
      </c>
      <c r="G17" s="456">
        <v>5</v>
      </c>
      <c r="H17" s="456">
        <v>5</v>
      </c>
    </row>
    <row r="18" spans="1:8">
      <c r="A18" s="368" t="s">
        <v>1678</v>
      </c>
      <c r="B18" s="276" t="s">
        <v>1192</v>
      </c>
      <c r="C18" s="289" t="s">
        <v>1193</v>
      </c>
      <c r="D18" s="289" t="s">
        <v>1196</v>
      </c>
      <c r="E18" s="289" t="s">
        <v>1197</v>
      </c>
      <c r="F18" s="289" t="s">
        <v>1692</v>
      </c>
      <c r="G18" s="5">
        <v>0.04</v>
      </c>
      <c r="H18" s="5">
        <v>0.05</v>
      </c>
    </row>
    <row r="19" spans="1:8">
      <c r="A19" s="337" t="s">
        <v>1679</v>
      </c>
      <c r="B19" s="276" t="s">
        <v>1194</v>
      </c>
      <c r="C19" s="289" t="s">
        <v>1173</v>
      </c>
      <c r="D19" s="289" t="s">
        <v>1220</v>
      </c>
      <c r="E19" s="289" t="s">
        <v>1199</v>
      </c>
      <c r="F19" s="289" t="s">
        <v>1227</v>
      </c>
      <c r="G19" s="292">
        <f>G15/(G18*G17*G16)</f>
        <v>46033.400550583538</v>
      </c>
      <c r="H19" s="292">
        <f>H15/(H18*H17*H16)</f>
        <v>31564.077383477274</v>
      </c>
    </row>
    <row r="20" spans="1:8" ht="14.25">
      <c r="B20" s="248" t="s">
        <v>1201</v>
      </c>
      <c r="C20" s="290"/>
      <c r="D20" s="289"/>
      <c r="E20" s="289"/>
      <c r="F20" s="289"/>
      <c r="G20" s="25"/>
      <c r="H20" s="25"/>
    </row>
    <row r="21" spans="1:8">
      <c r="B21" s="276" t="s">
        <v>1174</v>
      </c>
      <c r="C21" s="289" t="s">
        <v>1176</v>
      </c>
      <c r="D21" s="289" t="s">
        <v>1177</v>
      </c>
      <c r="E21" s="289" t="s">
        <v>1178</v>
      </c>
      <c r="F21" s="289" t="s">
        <v>1179</v>
      </c>
      <c r="G21" s="278" t="s">
        <v>1180</v>
      </c>
      <c r="H21" s="278" t="s">
        <v>1181</v>
      </c>
    </row>
    <row r="22" spans="1:8">
      <c r="A22" s="368" t="s">
        <v>1678</v>
      </c>
      <c r="B22" s="276" t="s">
        <v>1184</v>
      </c>
      <c r="C22" s="289" t="s">
        <v>1182</v>
      </c>
      <c r="D22" s="289" t="s">
        <v>1221</v>
      </c>
      <c r="E22" s="289" t="s">
        <v>1183</v>
      </c>
      <c r="F22" s="289" t="s">
        <v>1693</v>
      </c>
      <c r="G22" s="456">
        <v>7</v>
      </c>
      <c r="H22" s="456">
        <v>7</v>
      </c>
    </row>
    <row r="23" spans="1:8">
      <c r="A23" s="337" t="s">
        <v>1679</v>
      </c>
      <c r="B23" s="276" t="s">
        <v>1185</v>
      </c>
      <c r="C23" s="289" t="s">
        <v>1186</v>
      </c>
      <c r="D23" s="289" t="s">
        <v>1222</v>
      </c>
      <c r="E23" s="289" t="s">
        <v>1167</v>
      </c>
      <c r="F23" s="289" t="s">
        <v>1187</v>
      </c>
      <c r="G23" s="115">
        <f>G5*7</f>
        <v>5236.2993126288775</v>
      </c>
      <c r="H23" s="115">
        <f>G5*7</f>
        <v>5236.2993126288775</v>
      </c>
    </row>
    <row r="24" spans="1:8">
      <c r="A24" s="369" t="s">
        <v>1607</v>
      </c>
      <c r="B24" s="276" t="s">
        <v>1188</v>
      </c>
      <c r="C24" s="289" t="s">
        <v>1189</v>
      </c>
      <c r="D24" s="289" t="s">
        <v>1223</v>
      </c>
      <c r="E24" s="289" t="s">
        <v>1198</v>
      </c>
      <c r="F24" s="457" t="s">
        <v>1694</v>
      </c>
      <c r="G24" s="5">
        <v>0.95</v>
      </c>
      <c r="H24" s="5">
        <v>0.95</v>
      </c>
    </row>
    <row r="25" spans="1:8">
      <c r="A25" s="368" t="s">
        <v>1678</v>
      </c>
      <c r="B25" s="276" t="s">
        <v>1190</v>
      </c>
      <c r="C25" s="289" t="s">
        <v>1191</v>
      </c>
      <c r="D25" s="289" t="s">
        <v>1224</v>
      </c>
      <c r="E25" s="289" t="s">
        <v>1195</v>
      </c>
      <c r="F25" s="289" t="s">
        <v>1695</v>
      </c>
      <c r="G25" s="456">
        <v>6</v>
      </c>
      <c r="H25" s="456">
        <v>6</v>
      </c>
    </row>
    <row r="26" spans="1:8">
      <c r="A26" s="368" t="s">
        <v>1678</v>
      </c>
      <c r="B26" s="276" t="s">
        <v>1192</v>
      </c>
      <c r="C26" s="289" t="s">
        <v>1193</v>
      </c>
      <c r="D26" s="289" t="s">
        <v>1196</v>
      </c>
      <c r="E26" s="289" t="s">
        <v>1202</v>
      </c>
      <c r="F26" s="457" t="s">
        <v>1696</v>
      </c>
      <c r="G26" s="456">
        <v>0.04</v>
      </c>
      <c r="H26" s="456">
        <v>0.04</v>
      </c>
    </row>
    <row r="27" spans="1:8">
      <c r="A27" s="337" t="s">
        <v>1679</v>
      </c>
      <c r="B27" s="276" t="s">
        <v>1194</v>
      </c>
      <c r="C27" s="289" t="s">
        <v>1173</v>
      </c>
      <c r="D27" s="289" t="s">
        <v>1225</v>
      </c>
      <c r="E27" s="289" t="s">
        <v>1199</v>
      </c>
      <c r="F27" s="289" t="s">
        <v>1226</v>
      </c>
      <c r="G27" s="292">
        <f>G23/(G26*G25*G24)</f>
        <v>22966.225055389816</v>
      </c>
      <c r="H27" s="292">
        <f>H23/(H26*H25*H24)</f>
        <v>22966.225055389816</v>
      </c>
    </row>
    <row r="28" spans="1:8" ht="14.25">
      <c r="B28" s="248" t="s">
        <v>1240</v>
      </c>
      <c r="C28" s="248"/>
      <c r="D28" s="6"/>
      <c r="E28" s="6"/>
      <c r="F28" s="6"/>
      <c r="G28" s="6"/>
      <c r="H28" s="6"/>
    </row>
    <row r="29" spans="1:8">
      <c r="B29" s="276" t="s">
        <v>1174</v>
      </c>
      <c r="C29" s="289" t="s">
        <v>1176</v>
      </c>
      <c r="D29" s="289" t="s">
        <v>1177</v>
      </c>
      <c r="E29" s="289" t="s">
        <v>1178</v>
      </c>
      <c r="F29" s="289" t="s">
        <v>1179</v>
      </c>
      <c r="G29" s="278" t="s">
        <v>1180</v>
      </c>
      <c r="H29" s="278" t="s">
        <v>1181</v>
      </c>
    </row>
    <row r="30" spans="1:8">
      <c r="A30" s="339" t="s">
        <v>1677</v>
      </c>
      <c r="B30" s="276" t="s">
        <v>1184</v>
      </c>
      <c r="C30" s="6" t="s">
        <v>1161</v>
      </c>
      <c r="D30" s="25" t="s">
        <v>235</v>
      </c>
      <c r="E30" s="25" t="s">
        <v>236</v>
      </c>
      <c r="F30" s="6"/>
      <c r="G30" s="439">
        <f>G3</f>
        <v>31.168448289457604</v>
      </c>
      <c r="H30" s="439">
        <f>H3</f>
        <v>26.71438841049509</v>
      </c>
    </row>
    <row r="31" spans="1:8">
      <c r="A31" s="369" t="s">
        <v>1607</v>
      </c>
      <c r="B31" s="283" t="s">
        <v>1210</v>
      </c>
      <c r="C31" s="291" t="s">
        <v>1242</v>
      </c>
      <c r="D31" s="291" t="s">
        <v>1245</v>
      </c>
      <c r="E31" s="291" t="s">
        <v>237</v>
      </c>
      <c r="F31" s="458" t="s">
        <v>1697</v>
      </c>
      <c r="G31" s="5">
        <v>0.06</v>
      </c>
      <c r="H31" s="5">
        <v>0.06</v>
      </c>
    </row>
    <row r="32" spans="1:8">
      <c r="A32" s="369" t="s">
        <v>1607</v>
      </c>
      <c r="B32" s="276" t="s">
        <v>1188</v>
      </c>
      <c r="C32" s="291" t="s">
        <v>1214</v>
      </c>
      <c r="D32" s="291" t="s">
        <v>1234</v>
      </c>
      <c r="E32" s="289" t="s">
        <v>1198</v>
      </c>
      <c r="F32" s="291" t="s">
        <v>1252</v>
      </c>
      <c r="G32" s="5">
        <v>2</v>
      </c>
      <c r="H32" s="5">
        <v>2</v>
      </c>
    </row>
    <row r="33" spans="1:8">
      <c r="A33" s="284" t="s">
        <v>1143</v>
      </c>
      <c r="B33" s="276" t="s">
        <v>1190</v>
      </c>
      <c r="C33" s="291" t="s">
        <v>1203</v>
      </c>
      <c r="D33" s="291" t="s">
        <v>1246</v>
      </c>
      <c r="E33" s="291" t="s">
        <v>242</v>
      </c>
      <c r="F33" s="291" t="s">
        <v>1249</v>
      </c>
      <c r="G33" s="115">
        <f>G30*G31/G26</f>
        <v>46.752672434186401</v>
      </c>
      <c r="H33" s="115">
        <f>H30*H31/H26</f>
        <v>40.071582615742635</v>
      </c>
    </row>
    <row r="34" spans="1:8">
      <c r="A34" s="337" t="s">
        <v>1679</v>
      </c>
      <c r="B34" s="276" t="s">
        <v>1192</v>
      </c>
      <c r="C34" s="291" t="s">
        <v>1235</v>
      </c>
      <c r="D34" s="291" t="s">
        <v>1247</v>
      </c>
      <c r="E34" s="291" t="s">
        <v>242</v>
      </c>
      <c r="F34" s="291" t="s">
        <v>1250</v>
      </c>
      <c r="G34" s="115">
        <f>G33/G32</f>
        <v>23.376336217093201</v>
      </c>
      <c r="H34" s="115">
        <f>H33/H32</f>
        <v>20.035791307871317</v>
      </c>
    </row>
    <row r="35" spans="1:8">
      <c r="A35" s="368" t="s">
        <v>1698</v>
      </c>
      <c r="B35" s="276" t="s">
        <v>1194</v>
      </c>
      <c r="C35" s="291" t="s">
        <v>1236</v>
      </c>
      <c r="D35" s="291" t="s">
        <v>241</v>
      </c>
      <c r="E35" s="291" t="s">
        <v>1248</v>
      </c>
      <c r="F35" s="6"/>
      <c r="G35" s="5">
        <v>30</v>
      </c>
      <c r="H35" s="5">
        <v>30</v>
      </c>
    </row>
    <row r="36" spans="1:8">
      <c r="A36" s="337" t="s">
        <v>1679</v>
      </c>
      <c r="B36" s="276" t="s">
        <v>1160</v>
      </c>
      <c r="C36" s="291" t="s">
        <v>1237</v>
      </c>
      <c r="D36" s="291" t="s">
        <v>679</v>
      </c>
      <c r="E36" s="291" t="s">
        <v>237</v>
      </c>
      <c r="F36" s="291" t="s">
        <v>1251</v>
      </c>
      <c r="G36" s="459">
        <f>G35*G26*G32/G30</f>
        <v>7.7000945883205052E-2</v>
      </c>
      <c r="H36" s="460">
        <f>H35*H26*H32/H30</f>
        <v>8.9839226828682672E-2</v>
      </c>
    </row>
    <row r="37" spans="1:8" ht="14.25">
      <c r="B37" s="248" t="s">
        <v>1257</v>
      </c>
      <c r="C37" s="248"/>
      <c r="D37" s="6"/>
      <c r="E37" s="6"/>
      <c r="F37" s="6"/>
      <c r="G37" s="461"/>
      <c r="H37" s="461"/>
    </row>
    <row r="38" spans="1:8">
      <c r="B38" s="276" t="s">
        <v>1174</v>
      </c>
      <c r="C38" s="289" t="s">
        <v>1176</v>
      </c>
      <c r="D38" s="289" t="s">
        <v>1177</v>
      </c>
      <c r="E38" s="289" t="s">
        <v>1178</v>
      </c>
      <c r="F38" s="289" t="s">
        <v>1179</v>
      </c>
      <c r="G38" s="5" t="s">
        <v>1180</v>
      </c>
      <c r="H38" s="5" t="s">
        <v>1181</v>
      </c>
    </row>
    <row r="39" spans="1:8">
      <c r="A39" s="339" t="s">
        <v>1677</v>
      </c>
      <c r="B39" s="276" t="s">
        <v>1134</v>
      </c>
      <c r="C39" s="6" t="s">
        <v>1161</v>
      </c>
      <c r="D39" s="25" t="s">
        <v>235</v>
      </c>
      <c r="E39" s="25" t="s">
        <v>236</v>
      </c>
      <c r="F39" s="6"/>
      <c r="G39" s="439">
        <f>G3</f>
        <v>31.168448289457604</v>
      </c>
      <c r="H39" s="439">
        <f>H3</f>
        <v>26.71438841049509</v>
      </c>
    </row>
    <row r="40" spans="1:8">
      <c r="A40" s="369" t="s">
        <v>1607</v>
      </c>
      <c r="B40" s="276" t="s">
        <v>1210</v>
      </c>
      <c r="C40" s="291" t="s">
        <v>1209</v>
      </c>
      <c r="D40" s="291" t="s">
        <v>1230</v>
      </c>
      <c r="E40" s="289" t="s">
        <v>1198</v>
      </c>
      <c r="F40" s="291" t="s">
        <v>1699</v>
      </c>
      <c r="G40" s="5">
        <v>4</v>
      </c>
      <c r="H40" s="5">
        <v>4</v>
      </c>
    </row>
    <row r="41" spans="1:8">
      <c r="A41" s="369" t="s">
        <v>1607</v>
      </c>
      <c r="B41" s="283" t="s">
        <v>1211</v>
      </c>
      <c r="C41" s="6" t="s">
        <v>721</v>
      </c>
      <c r="D41" s="6" t="s">
        <v>722</v>
      </c>
      <c r="E41" s="6" t="s">
        <v>723</v>
      </c>
      <c r="F41" s="6" t="s">
        <v>1460</v>
      </c>
      <c r="G41" s="5">
        <v>150</v>
      </c>
      <c r="H41" s="5">
        <v>150</v>
      </c>
    </row>
    <row r="42" spans="1:8">
      <c r="A42" s="337" t="s">
        <v>1679</v>
      </c>
      <c r="B42" s="276" t="s">
        <v>1264</v>
      </c>
      <c r="C42" s="291" t="s">
        <v>1208</v>
      </c>
      <c r="D42" s="291" t="s">
        <v>1254</v>
      </c>
      <c r="E42" s="291" t="s">
        <v>236</v>
      </c>
      <c r="F42" s="289" t="s">
        <v>1212</v>
      </c>
      <c r="G42" s="115">
        <f>G39*G41/100</f>
        <v>46.752672434186408</v>
      </c>
      <c r="H42" s="115">
        <f>H39*H41/100</f>
        <v>40.071582615742635</v>
      </c>
    </row>
    <row r="43" spans="1:8">
      <c r="A43" s="337" t="s">
        <v>1679</v>
      </c>
      <c r="B43" s="283" t="s">
        <v>1205</v>
      </c>
      <c r="C43" s="291" t="s">
        <v>1213</v>
      </c>
      <c r="D43" s="291" t="s">
        <v>1255</v>
      </c>
      <c r="E43" s="291" t="s">
        <v>236</v>
      </c>
      <c r="F43" s="291" t="s">
        <v>1256</v>
      </c>
      <c r="G43" s="115">
        <f>G42/G40</f>
        <v>11.688168108546602</v>
      </c>
      <c r="H43" s="115">
        <f>H42/H40</f>
        <v>10.017895653935659</v>
      </c>
    </row>
    <row r="44" spans="1:8" ht="14.25">
      <c r="B44" s="248" t="s">
        <v>1258</v>
      </c>
      <c r="C44" s="248"/>
      <c r="D44" s="6"/>
      <c r="E44" s="6"/>
      <c r="F44" s="6"/>
      <c r="G44" s="6"/>
      <c r="H44" s="6"/>
    </row>
    <row r="45" spans="1:8" ht="14.25">
      <c r="B45" s="397" t="s">
        <v>1262</v>
      </c>
      <c r="C45" s="398"/>
      <c r="D45" s="398"/>
      <c r="E45" s="398"/>
      <c r="F45" s="398"/>
      <c r="G45" s="398"/>
      <c r="H45" s="399"/>
    </row>
    <row r="46" spans="1:8" ht="14.25">
      <c r="B46" s="397" t="s">
        <v>1700</v>
      </c>
      <c r="C46" s="398"/>
      <c r="D46" s="398"/>
      <c r="E46" s="398"/>
      <c r="F46" s="398"/>
      <c r="G46" s="398"/>
      <c r="H46" s="399"/>
    </row>
    <row r="47" spans="1:8" ht="14.25">
      <c r="B47" s="397" t="s">
        <v>1263</v>
      </c>
      <c r="C47" s="398"/>
      <c r="D47" s="398"/>
      <c r="E47" s="398"/>
      <c r="F47" s="398"/>
      <c r="G47" s="398"/>
      <c r="H47" s="399"/>
    </row>
    <row r="48" spans="1:8">
      <c r="B48" s="276" t="s">
        <v>1174</v>
      </c>
      <c r="C48" s="289" t="s">
        <v>1176</v>
      </c>
      <c r="D48" s="289" t="s">
        <v>1177</v>
      </c>
      <c r="E48" s="289" t="s">
        <v>1178</v>
      </c>
      <c r="F48" s="289" t="s">
        <v>1179</v>
      </c>
      <c r="G48" s="278" t="s">
        <v>1180</v>
      </c>
      <c r="H48" s="278" t="s">
        <v>1181</v>
      </c>
    </row>
    <row r="49" spans="1:8">
      <c r="A49" s="339" t="s">
        <v>1677</v>
      </c>
      <c r="B49" s="276" t="s">
        <v>1184</v>
      </c>
      <c r="C49" s="25" t="s">
        <v>1112</v>
      </c>
      <c r="D49" s="25" t="s">
        <v>235</v>
      </c>
      <c r="E49" s="25" t="s">
        <v>236</v>
      </c>
      <c r="F49" s="6"/>
      <c r="G49" s="439">
        <f>G3</f>
        <v>31.168448289457604</v>
      </c>
      <c r="H49" s="439">
        <f>H3</f>
        <v>26.71438841049509</v>
      </c>
    </row>
    <row r="50" spans="1:8">
      <c r="A50" s="339" t="s">
        <v>1702</v>
      </c>
      <c r="B50" s="276" t="s">
        <v>1185</v>
      </c>
      <c r="C50" s="6" t="s">
        <v>1162</v>
      </c>
      <c r="D50" s="6" t="s">
        <v>668</v>
      </c>
      <c r="E50" s="6" t="s">
        <v>669</v>
      </c>
      <c r="F50" s="6" t="s">
        <v>1701</v>
      </c>
      <c r="G50" s="456">
        <f>G49*24</f>
        <v>748.04275894698253</v>
      </c>
      <c r="H50" s="456">
        <f>H49*24</f>
        <v>641.14532185188216</v>
      </c>
    </row>
    <row r="51" spans="1:8">
      <c r="A51" s="337" t="s">
        <v>1679</v>
      </c>
      <c r="B51" s="283" t="s">
        <v>1211</v>
      </c>
      <c r="C51" s="6" t="s">
        <v>1265</v>
      </c>
      <c r="D51" s="6" t="s">
        <v>1254</v>
      </c>
      <c r="E51" s="6" t="s">
        <v>236</v>
      </c>
      <c r="F51" s="6" t="s">
        <v>1267</v>
      </c>
      <c r="G51" s="456">
        <f>G49*150/100</f>
        <v>46.752672434186408</v>
      </c>
      <c r="H51" s="456">
        <f>H49*150/100</f>
        <v>40.071582615742635</v>
      </c>
    </row>
    <row r="52" spans="1:8">
      <c r="A52" s="368" t="s">
        <v>1698</v>
      </c>
      <c r="B52" s="283" t="s">
        <v>1264</v>
      </c>
      <c r="C52" s="6" t="s">
        <v>1266</v>
      </c>
      <c r="D52" s="6" t="s">
        <v>238</v>
      </c>
      <c r="E52" s="6" t="s">
        <v>236</v>
      </c>
      <c r="F52" s="6"/>
      <c r="G52" s="462">
        <v>50</v>
      </c>
      <c r="H52" s="463"/>
    </row>
    <row r="53" spans="1:8">
      <c r="A53" s="368" t="s">
        <v>1678</v>
      </c>
      <c r="B53" s="278" t="s">
        <v>1205</v>
      </c>
      <c r="C53" s="6" t="s">
        <v>1268</v>
      </c>
      <c r="D53" s="6" t="s">
        <v>239</v>
      </c>
      <c r="E53" s="6" t="s">
        <v>1270</v>
      </c>
      <c r="F53" s="6" t="s">
        <v>1703</v>
      </c>
      <c r="G53" s="462">
        <v>1400</v>
      </c>
      <c r="H53" s="463"/>
    </row>
    <row r="54" spans="1:8">
      <c r="A54" s="368" t="s">
        <v>1678</v>
      </c>
      <c r="B54" s="278" t="s">
        <v>1206</v>
      </c>
      <c r="C54" s="6" t="s">
        <v>1130</v>
      </c>
      <c r="D54" s="25" t="s">
        <v>213</v>
      </c>
      <c r="E54" s="25"/>
      <c r="F54" s="25" t="s">
        <v>1131</v>
      </c>
      <c r="G54" s="402">
        <v>415</v>
      </c>
      <c r="H54" s="403"/>
    </row>
    <row r="55" spans="1:8">
      <c r="A55" s="368" t="s">
        <v>1678</v>
      </c>
      <c r="B55" s="278" t="s">
        <v>1207</v>
      </c>
      <c r="C55" s="6" t="s">
        <v>1269</v>
      </c>
      <c r="D55" s="25" t="s">
        <v>241</v>
      </c>
      <c r="E55" s="25" t="s">
        <v>1049</v>
      </c>
      <c r="F55" s="6" t="s">
        <v>1704</v>
      </c>
      <c r="G55" s="462">
        <v>1.6</v>
      </c>
      <c r="H55" s="463"/>
    </row>
    <row r="56" spans="1:8">
      <c r="A56" s="368" t="s">
        <v>1678</v>
      </c>
      <c r="B56" s="278" t="s">
        <v>1272</v>
      </c>
      <c r="C56" s="6" t="s">
        <v>1132</v>
      </c>
      <c r="D56" s="25" t="s">
        <v>143</v>
      </c>
      <c r="E56" s="25" t="s">
        <v>240</v>
      </c>
      <c r="F56" s="6" t="s">
        <v>1696</v>
      </c>
      <c r="G56" s="462">
        <v>0.04</v>
      </c>
      <c r="H56" s="463"/>
    </row>
    <row r="57" spans="1:8">
      <c r="A57" s="337" t="s">
        <v>1679</v>
      </c>
      <c r="B57" s="278" t="s">
        <v>1273</v>
      </c>
      <c r="C57" s="6" t="s">
        <v>1133</v>
      </c>
      <c r="D57" s="28" t="s">
        <v>1271</v>
      </c>
      <c r="E57" s="28" t="s">
        <v>236</v>
      </c>
      <c r="F57" s="6" t="s">
        <v>1705</v>
      </c>
      <c r="G57" s="400">
        <f>G54*G53*G53*G55*G56/1000/1000</f>
        <v>52.057600000000001</v>
      </c>
      <c r="H57" s="401"/>
    </row>
    <row r="58" spans="1:8" ht="14.25">
      <c r="B58" s="397" t="s">
        <v>1274</v>
      </c>
      <c r="C58" s="398"/>
      <c r="D58" s="398"/>
      <c r="E58" s="398"/>
      <c r="F58" s="398"/>
      <c r="G58" s="398"/>
      <c r="H58" s="399"/>
    </row>
    <row r="59" spans="1:8" ht="14.25">
      <c r="B59" s="248" t="s">
        <v>1259</v>
      </c>
      <c r="C59" s="290"/>
      <c r="D59" s="289"/>
      <c r="E59" s="289"/>
      <c r="F59" s="289"/>
      <c r="G59" s="25"/>
      <c r="H59" s="25"/>
    </row>
    <row r="60" spans="1:8">
      <c r="B60" s="276" t="s">
        <v>1174</v>
      </c>
      <c r="C60" s="289" t="s">
        <v>1176</v>
      </c>
      <c r="D60" s="289" t="s">
        <v>1177</v>
      </c>
      <c r="E60" s="289" t="s">
        <v>1178</v>
      </c>
      <c r="F60" s="289" t="s">
        <v>1179</v>
      </c>
      <c r="G60" s="278" t="s">
        <v>1180</v>
      </c>
      <c r="H60" s="278" t="s">
        <v>1181</v>
      </c>
    </row>
    <row r="61" spans="1:8">
      <c r="A61" s="339" t="s">
        <v>1677</v>
      </c>
      <c r="B61" s="283" t="s">
        <v>1134</v>
      </c>
      <c r="C61" s="6" t="s">
        <v>1161</v>
      </c>
      <c r="D61" s="25" t="s">
        <v>235</v>
      </c>
      <c r="E61" s="25" t="s">
        <v>236</v>
      </c>
      <c r="F61" s="6"/>
      <c r="G61" s="439">
        <f>G3</f>
        <v>31.168448289457604</v>
      </c>
      <c r="H61" s="439">
        <f>H3</f>
        <v>26.71438841049509</v>
      </c>
    </row>
    <row r="62" spans="1:8">
      <c r="A62" s="369" t="s">
        <v>1607</v>
      </c>
      <c r="B62" s="276" t="s">
        <v>1185</v>
      </c>
      <c r="C62" s="291" t="s">
        <v>1242</v>
      </c>
      <c r="D62" s="291" t="s">
        <v>1243</v>
      </c>
      <c r="E62" s="291" t="s">
        <v>237</v>
      </c>
      <c r="F62" s="291" t="s">
        <v>1706</v>
      </c>
      <c r="G62" s="456">
        <v>0.5</v>
      </c>
      <c r="H62" s="456">
        <v>0.5</v>
      </c>
    </row>
    <row r="63" spans="1:8">
      <c r="A63" s="369" t="s">
        <v>1607</v>
      </c>
      <c r="B63" s="276" t="s">
        <v>1188</v>
      </c>
      <c r="C63" s="289" t="s">
        <v>1461</v>
      </c>
      <c r="D63" s="289" t="s">
        <v>1231</v>
      </c>
      <c r="E63" s="289" t="s">
        <v>1198</v>
      </c>
      <c r="F63" s="289" t="s">
        <v>1204</v>
      </c>
      <c r="G63" s="464">
        <v>2</v>
      </c>
      <c r="H63" s="464">
        <v>2</v>
      </c>
    </row>
    <row r="64" spans="1:8">
      <c r="A64" s="284" t="s">
        <v>1143</v>
      </c>
      <c r="B64" s="276" t="s">
        <v>1190</v>
      </c>
      <c r="C64" s="289" t="s">
        <v>1241</v>
      </c>
      <c r="D64" s="289" t="s">
        <v>1232</v>
      </c>
      <c r="E64" s="291" t="s">
        <v>242</v>
      </c>
      <c r="F64" s="291" t="s">
        <v>1244</v>
      </c>
      <c r="G64" s="292">
        <f>G61*G62/G26</f>
        <v>389.60560361822007</v>
      </c>
      <c r="H64" s="292">
        <f>H61*H62/H26</f>
        <v>333.92985513118862</v>
      </c>
    </row>
    <row r="65" spans="1:8">
      <c r="A65" s="337" t="s">
        <v>1679</v>
      </c>
      <c r="B65" s="276" t="s">
        <v>1192</v>
      </c>
      <c r="C65" s="289" t="s">
        <v>1235</v>
      </c>
      <c r="D65" s="289" t="s">
        <v>1238</v>
      </c>
      <c r="E65" s="291" t="s">
        <v>242</v>
      </c>
      <c r="F65" s="291" t="s">
        <v>1233</v>
      </c>
      <c r="G65" s="292">
        <f>G64/G63</f>
        <v>194.80280180911004</v>
      </c>
      <c r="H65" s="292">
        <f>H64/H63</f>
        <v>166.96492756559431</v>
      </c>
    </row>
    <row r="66" spans="1:8">
      <c r="A66" s="368" t="s">
        <v>1698</v>
      </c>
      <c r="B66" s="283" t="s">
        <v>1206</v>
      </c>
      <c r="C66" s="291" t="s">
        <v>1236</v>
      </c>
      <c r="D66" s="291" t="s">
        <v>241</v>
      </c>
      <c r="E66" s="291" t="s">
        <v>242</v>
      </c>
      <c r="F66" s="6"/>
      <c r="G66" s="465">
        <v>200</v>
      </c>
      <c r="H66" s="465">
        <v>170</v>
      </c>
    </row>
    <row r="67" spans="1:8">
      <c r="A67" s="337" t="s">
        <v>1679</v>
      </c>
      <c r="B67" s="283" t="s">
        <v>1207</v>
      </c>
      <c r="C67" s="291" t="s">
        <v>1237</v>
      </c>
      <c r="D67" s="291" t="s">
        <v>679</v>
      </c>
      <c r="E67" s="291" t="s">
        <v>237</v>
      </c>
      <c r="F67" s="6" t="s">
        <v>1239</v>
      </c>
      <c r="G67" s="456">
        <f>G66*G18*G63/G3</f>
        <v>0.51333963922136705</v>
      </c>
      <c r="H67" s="456">
        <f>H66*H18*H63/G3</f>
        <v>0.54542336667270241</v>
      </c>
    </row>
    <row r="68" spans="1:8" ht="14.25">
      <c r="B68" s="248" t="s">
        <v>1260</v>
      </c>
      <c r="C68" s="248"/>
      <c r="D68" s="6"/>
      <c r="E68" s="6"/>
      <c r="F68" s="6"/>
      <c r="G68" s="461"/>
      <c r="H68" s="461"/>
    </row>
    <row r="69" spans="1:8">
      <c r="B69" s="276" t="s">
        <v>1174</v>
      </c>
      <c r="C69" s="289" t="s">
        <v>1176</v>
      </c>
      <c r="D69" s="289" t="s">
        <v>1177</v>
      </c>
      <c r="E69" s="289" t="s">
        <v>1178</v>
      </c>
      <c r="F69" s="289" t="s">
        <v>1179</v>
      </c>
      <c r="G69" s="5" t="s">
        <v>1180</v>
      </c>
      <c r="H69" s="5" t="s">
        <v>1181</v>
      </c>
    </row>
    <row r="70" spans="1:8">
      <c r="A70" s="339" t="s">
        <v>1677</v>
      </c>
      <c r="B70" s="276" t="s">
        <v>1134</v>
      </c>
      <c r="C70" s="6" t="s">
        <v>1161</v>
      </c>
      <c r="D70" s="25" t="s">
        <v>235</v>
      </c>
      <c r="E70" s="25" t="s">
        <v>236</v>
      </c>
      <c r="F70" s="6"/>
      <c r="G70" s="439">
        <f>G3</f>
        <v>31.168448289457604</v>
      </c>
      <c r="H70" s="439">
        <f>H3</f>
        <v>26.71438841049509</v>
      </c>
    </row>
    <row r="71" spans="1:8">
      <c r="A71" s="369" t="s">
        <v>1607</v>
      </c>
      <c r="B71" s="276" t="s">
        <v>1210</v>
      </c>
      <c r="C71" s="291" t="s">
        <v>1209</v>
      </c>
      <c r="D71" s="291" t="s">
        <v>1228</v>
      </c>
      <c r="E71" s="289" t="s">
        <v>1198</v>
      </c>
      <c r="F71" s="291" t="s">
        <v>1462</v>
      </c>
      <c r="G71" s="273">
        <v>4</v>
      </c>
      <c r="H71" s="273">
        <v>4</v>
      </c>
    </row>
    <row r="72" spans="1:8">
      <c r="A72" s="369" t="s">
        <v>1607</v>
      </c>
      <c r="B72" s="283" t="s">
        <v>1211</v>
      </c>
      <c r="C72" s="6" t="s">
        <v>721</v>
      </c>
      <c r="D72" s="6" t="s">
        <v>722</v>
      </c>
      <c r="E72" s="6" t="s">
        <v>723</v>
      </c>
      <c r="F72" s="6" t="s">
        <v>1261</v>
      </c>
      <c r="G72" s="456">
        <v>150</v>
      </c>
      <c r="H72" s="456">
        <v>150</v>
      </c>
    </row>
    <row r="73" spans="1:8">
      <c r="A73" s="337" t="s">
        <v>1679</v>
      </c>
      <c r="B73" s="276" t="s">
        <v>1264</v>
      </c>
      <c r="C73" s="291" t="s">
        <v>1208</v>
      </c>
      <c r="D73" s="291" t="s">
        <v>1215</v>
      </c>
      <c r="E73" s="291" t="s">
        <v>236</v>
      </c>
      <c r="F73" s="289" t="s">
        <v>1212</v>
      </c>
      <c r="G73" s="115">
        <f>G3*150/100</f>
        <v>46.752672434186408</v>
      </c>
      <c r="H73" s="115">
        <f>H3*150/100</f>
        <v>40.071582615742635</v>
      </c>
    </row>
    <row r="74" spans="1:8">
      <c r="A74" s="337" t="s">
        <v>1679</v>
      </c>
      <c r="B74" s="283" t="s">
        <v>1205</v>
      </c>
      <c r="C74" s="291" t="s">
        <v>1213</v>
      </c>
      <c r="D74" s="291" t="s">
        <v>1253</v>
      </c>
      <c r="E74" s="291" t="s">
        <v>236</v>
      </c>
      <c r="F74" s="291" t="s">
        <v>1229</v>
      </c>
      <c r="G74" s="115">
        <f>G73/G71</f>
        <v>11.688168108546602</v>
      </c>
      <c r="H74" s="115">
        <f>H73/H71</f>
        <v>10.017895653935659</v>
      </c>
    </row>
  </sheetData>
  <mergeCells count="11">
    <mergeCell ref="N3:N4"/>
    <mergeCell ref="G53:H53"/>
    <mergeCell ref="G55:H55"/>
    <mergeCell ref="B45:H45"/>
    <mergeCell ref="G56:H56"/>
    <mergeCell ref="G57:H57"/>
    <mergeCell ref="B58:H58"/>
    <mergeCell ref="G54:H54"/>
    <mergeCell ref="B46:H46"/>
    <mergeCell ref="B47:H47"/>
    <mergeCell ref="G52:H52"/>
  </mergeCells>
  <phoneticPr fontId="14"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sheetPr>
    <tabColor rgb="FFFFFF00"/>
  </sheetPr>
  <dimension ref="A1:AB111"/>
  <sheetViews>
    <sheetView topLeftCell="A16" workbookViewId="0">
      <selection activeCell="M14" sqref="M14"/>
    </sheetView>
  </sheetViews>
  <sheetFormatPr defaultColWidth="9" defaultRowHeight="13.5"/>
  <cols>
    <col min="1" max="1" width="8.625" style="23" customWidth="1"/>
    <col min="2" max="2" width="15.625" style="23" customWidth="1"/>
    <col min="3" max="4" width="8.625" style="23" customWidth="1"/>
    <col min="5" max="5" width="43.875" style="23" customWidth="1"/>
    <col min="6" max="6" width="11.625" style="179" customWidth="1"/>
    <col min="7" max="7" width="12.875" style="23" customWidth="1"/>
    <col min="8" max="9" width="8.625" style="23" customWidth="1"/>
    <col min="10" max="10" width="10.625" style="23" customWidth="1"/>
    <col min="11" max="11" width="13.75" style="23" customWidth="1"/>
    <col min="12" max="16" width="8.625" style="23" customWidth="1"/>
    <col min="17" max="26" width="12.625" style="23" customWidth="1"/>
    <col min="27" max="27" width="10.625" style="23" customWidth="1"/>
    <col min="28" max="16384" width="9" style="23"/>
  </cols>
  <sheetData>
    <row r="1" spans="1:9">
      <c r="A1" s="406" t="s">
        <v>982</v>
      </c>
      <c r="B1" s="407"/>
      <c r="C1" s="407"/>
      <c r="D1" s="407"/>
      <c r="E1" s="407"/>
      <c r="F1" s="409"/>
    </row>
    <row r="2" spans="1:9" ht="18.75">
      <c r="A2" s="148" t="s">
        <v>832</v>
      </c>
      <c r="B2" s="149" t="s">
        <v>833</v>
      </c>
      <c r="C2" s="149" t="s">
        <v>834</v>
      </c>
      <c r="D2" s="149"/>
      <c r="E2" s="149" t="s">
        <v>826</v>
      </c>
      <c r="F2" s="150">
        <v>0.82</v>
      </c>
    </row>
    <row r="3" spans="1:9" ht="18.75">
      <c r="A3" s="148" t="s">
        <v>136</v>
      </c>
      <c r="B3" s="149" t="s">
        <v>835</v>
      </c>
      <c r="C3" s="149" t="s">
        <v>836</v>
      </c>
      <c r="D3" s="149"/>
      <c r="E3" s="149" t="s">
        <v>826</v>
      </c>
      <c r="F3" s="150">
        <v>0.95</v>
      </c>
    </row>
    <row r="4" spans="1:9" ht="18.75">
      <c r="A4" s="148" t="s">
        <v>140</v>
      </c>
      <c r="B4" s="149" t="s">
        <v>837</v>
      </c>
      <c r="C4" s="149" t="s">
        <v>838</v>
      </c>
      <c r="D4" s="149"/>
      <c r="E4" s="149" t="s">
        <v>826</v>
      </c>
      <c r="F4" s="150">
        <v>0.97299999999999998</v>
      </c>
    </row>
    <row r="5" spans="1:9">
      <c r="A5" s="148" t="s">
        <v>144</v>
      </c>
      <c r="B5" s="149" t="s">
        <v>839</v>
      </c>
      <c r="C5" s="149"/>
      <c r="D5" s="151" t="s">
        <v>827</v>
      </c>
      <c r="E5" s="152" t="s">
        <v>731</v>
      </c>
      <c r="F5" s="153">
        <v>8.83</v>
      </c>
    </row>
    <row r="6" spans="1:9">
      <c r="A6" s="148" t="s">
        <v>148</v>
      </c>
      <c r="B6" s="154" t="s">
        <v>840</v>
      </c>
      <c r="C6" s="149"/>
      <c r="D6" s="151" t="s">
        <v>829</v>
      </c>
      <c r="E6" s="152" t="s">
        <v>828</v>
      </c>
      <c r="F6" s="153">
        <v>540</v>
      </c>
    </row>
    <row r="7" spans="1:9">
      <c r="A7" s="148" t="s">
        <v>151</v>
      </c>
      <c r="B7" s="155" t="s">
        <v>841</v>
      </c>
      <c r="C7" s="149" t="s">
        <v>830</v>
      </c>
      <c r="D7" s="156" t="s">
        <v>831</v>
      </c>
      <c r="E7" s="157" t="s">
        <v>842</v>
      </c>
      <c r="F7" s="150">
        <v>130</v>
      </c>
      <c r="G7" s="187"/>
    </row>
    <row r="8" spans="1:9">
      <c r="A8" s="148" t="s">
        <v>188</v>
      </c>
      <c r="B8" s="154" t="s">
        <v>843</v>
      </c>
      <c r="C8" s="149"/>
      <c r="D8" s="151" t="s">
        <v>844</v>
      </c>
      <c r="E8" s="152" t="s">
        <v>845</v>
      </c>
      <c r="F8" s="158">
        <f>S_PT(F5,F6)</f>
        <v>6.7965621973639525</v>
      </c>
      <c r="I8" s="187">
        <f>H10-F7</f>
        <v>586.51363080514307</v>
      </c>
    </row>
    <row r="9" spans="1:9">
      <c r="A9" s="148" t="s">
        <v>193</v>
      </c>
      <c r="B9" s="155" t="s">
        <v>846</v>
      </c>
      <c r="C9" s="152" t="s">
        <v>847</v>
      </c>
      <c r="D9" s="151" t="s">
        <v>848</v>
      </c>
      <c r="E9" s="151" t="s">
        <v>845</v>
      </c>
      <c r="F9" s="150">
        <f>H_PT($F$5,$F$6)</f>
        <v>3488.9820780514765</v>
      </c>
    </row>
    <row r="10" spans="1:9" ht="15">
      <c r="A10" s="148" t="s">
        <v>196</v>
      </c>
      <c r="B10" s="159" t="s">
        <v>984</v>
      </c>
      <c r="C10" s="160" t="s">
        <v>849</v>
      </c>
      <c r="D10" s="151" t="s">
        <v>850</v>
      </c>
      <c r="E10" s="151" t="s">
        <v>851</v>
      </c>
      <c r="F10" s="153">
        <v>0.2</v>
      </c>
      <c r="G10" s="187">
        <f>F15</f>
        <v>130</v>
      </c>
      <c r="H10" s="23">
        <f>(G10*G13+I13*I10)/H13</f>
        <v>716.51363080514307</v>
      </c>
      <c r="I10" s="23">
        <v>1120</v>
      </c>
    </row>
    <row r="11" spans="1:9">
      <c r="A11" s="148" t="s">
        <v>200</v>
      </c>
      <c r="B11" s="154" t="s">
        <v>852</v>
      </c>
      <c r="C11" s="149"/>
      <c r="D11" s="151" t="s">
        <v>853</v>
      </c>
      <c r="E11" s="151" t="s">
        <v>845</v>
      </c>
      <c r="F11" s="150">
        <f>T_PS($F$10,$F$12)</f>
        <v>120.21154916847178</v>
      </c>
      <c r="G11" s="187">
        <f>F10</f>
        <v>0.2</v>
      </c>
      <c r="H11" s="23">
        <v>0.2</v>
      </c>
      <c r="I11" s="23">
        <f>G11*1.5</f>
        <v>0.30000000000000004</v>
      </c>
    </row>
    <row r="12" spans="1:9">
      <c r="A12" s="148" t="s">
        <v>201</v>
      </c>
      <c r="B12" s="162" t="s">
        <v>843</v>
      </c>
      <c r="C12" s="152" t="s">
        <v>854</v>
      </c>
      <c r="D12" s="151" t="s">
        <v>844</v>
      </c>
      <c r="E12" s="151" t="s">
        <v>855</v>
      </c>
      <c r="F12" s="150">
        <f>F8</f>
        <v>6.7965621973639525</v>
      </c>
      <c r="G12" s="187">
        <f>F11</f>
        <v>120.21154916847178</v>
      </c>
      <c r="H12" s="23">
        <v>100</v>
      </c>
      <c r="I12" s="23">
        <v>50</v>
      </c>
    </row>
    <row r="13" spans="1:9">
      <c r="A13" s="148" t="s">
        <v>203</v>
      </c>
      <c r="B13" s="162" t="s">
        <v>846</v>
      </c>
      <c r="C13" s="152" t="s">
        <v>856</v>
      </c>
      <c r="D13" s="151" t="s">
        <v>848</v>
      </c>
      <c r="E13" s="151" t="s">
        <v>845</v>
      </c>
      <c r="F13" s="150">
        <f>H_PS($F$10,$F$12)</f>
        <v>2576.315831975322</v>
      </c>
      <c r="G13" s="23">
        <f>H_PT($G$11,$G$12)</f>
        <v>504.6838592689918</v>
      </c>
      <c r="H13" s="23">
        <f>H_PT($H$11,$H$12)</f>
        <v>419.17319539735519</v>
      </c>
      <c r="I13" s="23">
        <f>H_PT(I11,I12)</f>
        <v>209.58429148694978</v>
      </c>
    </row>
    <row r="14" spans="1:9">
      <c r="A14" s="148" t="s">
        <v>206</v>
      </c>
      <c r="B14" s="162" t="s">
        <v>846</v>
      </c>
      <c r="C14" s="152" t="s">
        <v>856</v>
      </c>
      <c r="D14" s="151" t="s">
        <v>848</v>
      </c>
      <c r="E14" s="151" t="s">
        <v>845</v>
      </c>
      <c r="F14" s="150">
        <f>H_PS($F$10,$F$12)</f>
        <v>2576.315831975322</v>
      </c>
    </row>
    <row r="15" spans="1:9" ht="20.100000000000001" customHeight="1">
      <c r="A15" s="148" t="s">
        <v>211</v>
      </c>
      <c r="B15" s="155" t="s">
        <v>857</v>
      </c>
      <c r="C15" s="149" t="s">
        <v>783</v>
      </c>
      <c r="D15" s="156" t="s">
        <v>858</v>
      </c>
      <c r="E15" s="163"/>
      <c r="F15" s="164">
        <v>130</v>
      </c>
    </row>
    <row r="16" spans="1:9" s="165" customFormat="1">
      <c r="A16" s="148" t="s">
        <v>214</v>
      </c>
      <c r="B16" s="152" t="s">
        <v>985</v>
      </c>
      <c r="C16" s="152" t="s">
        <v>859</v>
      </c>
      <c r="D16" s="156" t="s">
        <v>858</v>
      </c>
      <c r="E16" s="151" t="s">
        <v>860</v>
      </c>
      <c r="F16" s="150">
        <f>F7-F15</f>
        <v>0</v>
      </c>
    </row>
    <row r="17" spans="1:28" s="165" customFormat="1" ht="15">
      <c r="A17" s="148" t="s">
        <v>215</v>
      </c>
      <c r="B17" s="155" t="s">
        <v>861</v>
      </c>
      <c r="C17" s="160" t="s">
        <v>849</v>
      </c>
      <c r="D17" s="151" t="s">
        <v>850</v>
      </c>
      <c r="E17" s="151"/>
      <c r="F17" s="150">
        <f>F10</f>
        <v>0.2</v>
      </c>
    </row>
    <row r="18" spans="1:28" s="165" customFormat="1" ht="16.5">
      <c r="A18" s="148" t="s">
        <v>741</v>
      </c>
      <c r="B18" s="155" t="s">
        <v>862</v>
      </c>
      <c r="C18" s="152" t="s">
        <v>863</v>
      </c>
      <c r="D18" s="151" t="s">
        <v>864</v>
      </c>
      <c r="E18" s="151" t="s">
        <v>865</v>
      </c>
      <c r="F18" s="150">
        <f>F14</f>
        <v>2576.315831975322</v>
      </c>
    </row>
    <row r="19" spans="1:28" s="165" customFormat="1" ht="16.5">
      <c r="A19" s="148" t="s">
        <v>744</v>
      </c>
      <c r="B19" s="155" t="s">
        <v>866</v>
      </c>
      <c r="C19" s="152" t="s">
        <v>867</v>
      </c>
      <c r="D19" s="151" t="s">
        <v>868</v>
      </c>
      <c r="E19" s="151" t="s">
        <v>869</v>
      </c>
      <c r="F19" s="150">
        <f>F8</f>
        <v>6.7965621973639525</v>
      </c>
    </row>
    <row r="20" spans="1:28" ht="20.100000000000001" customHeight="1">
      <c r="A20" s="148" t="s">
        <v>746</v>
      </c>
      <c r="B20" s="149" t="s">
        <v>870</v>
      </c>
      <c r="C20" s="152" t="s">
        <v>871</v>
      </c>
      <c r="D20" s="156" t="s">
        <v>730</v>
      </c>
      <c r="E20" s="151" t="s">
        <v>872</v>
      </c>
      <c r="F20" s="161">
        <v>8.9999999999999993E-3</v>
      </c>
    </row>
    <row r="21" spans="1:28" ht="20.100000000000001" customHeight="1">
      <c r="A21" s="148" t="s">
        <v>750</v>
      </c>
      <c r="B21" s="154" t="s">
        <v>873</v>
      </c>
      <c r="C21" s="152" t="s">
        <v>874</v>
      </c>
      <c r="D21" s="151" t="s">
        <v>875</v>
      </c>
      <c r="E21" s="151" t="s">
        <v>876</v>
      </c>
      <c r="F21" s="150">
        <f>H_PS($F$20,$F$19)</f>
        <v>2139.9466702642421</v>
      </c>
    </row>
    <row r="22" spans="1:28" ht="20.100000000000001" customHeight="1">
      <c r="A22" s="148" t="s">
        <v>753</v>
      </c>
      <c r="B22" s="151" t="s">
        <v>877</v>
      </c>
      <c r="C22" s="151" t="s">
        <v>878</v>
      </c>
      <c r="D22" s="151" t="s">
        <v>879</v>
      </c>
      <c r="E22" s="25"/>
      <c r="F22" s="147">
        <f>F2*F3*F4/3.6*(F7*(F9-F13)+F16*(F18-F21))</f>
        <v>24980.615708374611</v>
      </c>
    </row>
    <row r="23" spans="1:28" ht="20.100000000000001" customHeight="1">
      <c r="A23" s="148" t="s">
        <v>754</v>
      </c>
      <c r="B23" s="166" t="s">
        <v>880</v>
      </c>
      <c r="C23" s="151" t="s">
        <v>878</v>
      </c>
      <c r="D23" s="151" t="s">
        <v>881</v>
      </c>
      <c r="E23" s="25" t="s">
        <v>882</v>
      </c>
      <c r="F23" s="147">
        <f>0.85*F22/1000</f>
        <v>21.233523352118421</v>
      </c>
    </row>
    <row r="24" spans="1:28" ht="20.100000000000001" customHeight="1">
      <c r="A24" s="148" t="s">
        <v>755</v>
      </c>
      <c r="B24" s="166" t="s">
        <v>883</v>
      </c>
      <c r="C24" s="151" t="s">
        <v>878</v>
      </c>
      <c r="D24" s="151" t="s">
        <v>881</v>
      </c>
      <c r="E24" s="33"/>
      <c r="F24" s="199">
        <v>73</v>
      </c>
    </row>
    <row r="25" spans="1:28" ht="20.100000000000001" customHeight="1">
      <c r="A25" s="148" t="s">
        <v>756</v>
      </c>
      <c r="B25" s="167" t="s">
        <v>884</v>
      </c>
      <c r="C25" s="168"/>
      <c r="D25" s="168"/>
      <c r="E25" s="169"/>
      <c r="F25" s="190">
        <v>0.03</v>
      </c>
    </row>
    <row r="26" spans="1:28" ht="20.100000000000001" customHeight="1">
      <c r="A26" s="260"/>
      <c r="B26" s="261" t="s">
        <v>1125</v>
      </c>
      <c r="C26" s="262"/>
      <c r="D26" s="262" t="s">
        <v>1126</v>
      </c>
      <c r="E26" s="263" t="s">
        <v>1127</v>
      </c>
      <c r="F26" s="264">
        <v>300</v>
      </c>
    </row>
    <row r="27" spans="1:28" ht="20.100000000000001" customHeight="1">
      <c r="A27" s="410" t="s">
        <v>983</v>
      </c>
      <c r="B27" s="411"/>
      <c r="C27" s="411"/>
      <c r="D27" s="411"/>
      <c r="E27" s="411"/>
      <c r="F27" s="411"/>
      <c r="G27" s="411"/>
      <c r="H27" s="411"/>
      <c r="I27" s="411"/>
      <c r="J27" s="411"/>
      <c r="K27" s="412"/>
    </row>
    <row r="28" spans="1:28" ht="20.100000000000001" customHeight="1">
      <c r="A28" s="413" t="s">
        <v>885</v>
      </c>
      <c r="B28" s="414"/>
      <c r="C28" s="414"/>
      <c r="D28" s="414"/>
      <c r="E28" s="414"/>
      <c r="F28" s="414"/>
      <c r="G28" s="414"/>
      <c r="H28" s="414"/>
      <c r="I28" s="414"/>
      <c r="J28" s="414"/>
      <c r="K28" s="415"/>
    </row>
    <row r="29" spans="1:28" s="172" customFormat="1" ht="34.5" customHeight="1">
      <c r="A29" s="170" t="s">
        <v>825</v>
      </c>
      <c r="B29" s="171" t="s">
        <v>886</v>
      </c>
      <c r="C29" s="171" t="s">
        <v>887</v>
      </c>
      <c r="D29" s="171" t="s">
        <v>888</v>
      </c>
      <c r="E29" s="171" t="s">
        <v>889</v>
      </c>
      <c r="F29" s="191" t="s">
        <v>890</v>
      </c>
      <c r="G29" s="170" t="s">
        <v>891</v>
      </c>
      <c r="H29" s="170" t="s">
        <v>892</v>
      </c>
      <c r="I29" s="170" t="s">
        <v>893</v>
      </c>
      <c r="J29" s="170" t="s">
        <v>894</v>
      </c>
      <c r="K29" s="170" t="s">
        <v>895</v>
      </c>
      <c r="L29" s="23"/>
      <c r="M29" s="23"/>
      <c r="N29" s="23"/>
      <c r="X29" s="172">
        <f>HL_T('[1]原则性热力系统--无高加'!$X$47)</f>
        <v>1197.8561751308459</v>
      </c>
    </row>
    <row r="30" spans="1:28" s="172" customFormat="1" ht="21.75" customHeight="1">
      <c r="A30" s="170" t="s">
        <v>896</v>
      </c>
      <c r="B30" s="171" t="s">
        <v>897</v>
      </c>
      <c r="C30" s="171" t="s">
        <v>898</v>
      </c>
      <c r="D30" s="171" t="s">
        <v>899</v>
      </c>
      <c r="E30" s="171" t="s">
        <v>900</v>
      </c>
      <c r="F30" s="191" t="s">
        <v>901</v>
      </c>
      <c r="G30" s="170" t="s">
        <v>902</v>
      </c>
      <c r="H30" s="170" t="s">
        <v>903</v>
      </c>
      <c r="I30" s="170" t="s">
        <v>904</v>
      </c>
      <c r="J30" s="170" t="s">
        <v>905</v>
      </c>
      <c r="K30" s="170" t="s">
        <v>906</v>
      </c>
      <c r="V30" s="172">
        <f t="shared" ref="V30:V36" si="0">W30-W31</f>
        <v>148.60000000000014</v>
      </c>
      <c r="W30" s="172">
        <v>1193.4000000000001</v>
      </c>
      <c r="X30" s="172">
        <v>272.5</v>
      </c>
      <c r="Y30" s="172">
        <f t="shared" ref="Y30:Y36" si="1">X30-X31</f>
        <v>31.5</v>
      </c>
      <c r="AA30" s="172">
        <v>3137.5</v>
      </c>
      <c r="AB30" s="172">
        <f t="shared" ref="AB30:AB36" si="2">AA30-AA31</f>
        <v>117.5</v>
      </c>
    </row>
    <row r="31" spans="1:28" s="172" customFormat="1" ht="19.5" customHeight="1">
      <c r="A31" s="170" t="s">
        <v>907</v>
      </c>
      <c r="B31" s="171" t="s">
        <v>908</v>
      </c>
      <c r="C31" s="171" t="s">
        <v>909</v>
      </c>
      <c r="D31" s="171" t="s">
        <v>908</v>
      </c>
      <c r="E31" s="171" t="s">
        <v>908</v>
      </c>
      <c r="F31" s="192" t="s">
        <v>908</v>
      </c>
      <c r="G31" s="170" t="s">
        <v>730</v>
      </c>
      <c r="H31" s="170" t="s">
        <v>730</v>
      </c>
      <c r="I31" s="170" t="s">
        <v>730</v>
      </c>
      <c r="J31" s="171" t="s">
        <v>909</v>
      </c>
      <c r="K31" s="170" t="s">
        <v>732</v>
      </c>
      <c r="V31" s="172">
        <f t="shared" si="0"/>
        <v>186.29999999999995</v>
      </c>
      <c r="W31" s="172">
        <v>1044.8</v>
      </c>
      <c r="X31" s="172">
        <v>241</v>
      </c>
      <c r="Y31" s="172">
        <f t="shared" si="1"/>
        <v>41.400000000000006</v>
      </c>
      <c r="AA31" s="172">
        <v>3020</v>
      </c>
      <c r="AB31" s="172">
        <f t="shared" si="2"/>
        <v>-305</v>
      </c>
    </row>
    <row r="32" spans="1:28" s="178" customFormat="1" ht="20.100000000000001" customHeight="1">
      <c r="A32" s="173" t="s">
        <v>910</v>
      </c>
      <c r="B32" s="174">
        <v>215</v>
      </c>
      <c r="C32" s="175">
        <f>HL_T($B$32)</f>
        <v>920.60856642728231</v>
      </c>
      <c r="D32" s="176">
        <v>2.8</v>
      </c>
      <c r="E32" s="175">
        <f>B32+D32</f>
        <v>217.8</v>
      </c>
      <c r="F32" s="193">
        <f>HL_T($E$32)</f>
        <v>933.48758109181199</v>
      </c>
      <c r="G32" s="175">
        <f>P_T(E32)</f>
        <v>2.2232704725985939</v>
      </c>
      <c r="H32" s="177">
        <v>0.08</v>
      </c>
      <c r="I32" s="175">
        <f>G32/(1-H32)</f>
        <v>2.4165983397810802</v>
      </c>
      <c r="J32" s="175">
        <f>H_PS($I$32,$F$8)</f>
        <v>3089.6754159269049</v>
      </c>
      <c r="K32" s="175">
        <f>(F26)*(C32-C33)/(J32-F32)/0.98</f>
        <v>18.010951273015337</v>
      </c>
      <c r="M32" s="179"/>
      <c r="U32" s="172"/>
      <c r="V32" s="172">
        <f t="shared" si="0"/>
        <v>146.29999999999995</v>
      </c>
      <c r="W32" s="178">
        <v>858.5</v>
      </c>
      <c r="X32" s="178">
        <v>199.6</v>
      </c>
      <c r="Y32" s="172">
        <f t="shared" si="1"/>
        <v>31.199999999999989</v>
      </c>
      <c r="AA32" s="178">
        <v>3325</v>
      </c>
      <c r="AB32" s="172">
        <f t="shared" si="2"/>
        <v>195.59999999999991</v>
      </c>
    </row>
    <row r="33" spans="1:28" s="178" customFormat="1" ht="20.100000000000001" customHeight="1">
      <c r="A33" s="173" t="s">
        <v>911</v>
      </c>
      <c r="B33" s="180">
        <f>ROUND(B32-(B32-B35)/2,0)</f>
        <v>187</v>
      </c>
      <c r="C33" s="175">
        <f>C32-(C32-C35)/2</f>
        <v>793.74758593358354</v>
      </c>
      <c r="D33" s="176">
        <v>2.8</v>
      </c>
      <c r="E33" s="175">
        <f>B33+D33</f>
        <v>189.8</v>
      </c>
      <c r="F33" s="193">
        <f>HL_T($E$33)</f>
        <v>806.67423665331</v>
      </c>
      <c r="G33" s="175">
        <f>P_T(E33)</f>
        <v>1.2495257656589573</v>
      </c>
      <c r="H33" s="177">
        <v>0.08</v>
      </c>
      <c r="I33" s="175">
        <f>G33/(1-H33)</f>
        <v>1.358180180064084</v>
      </c>
      <c r="J33" s="175">
        <f>H_PS($I$33,$F$8)</f>
        <v>2946.0587257209595</v>
      </c>
      <c r="K33" s="175">
        <f>((F26)*(C33-C35)-K32*0.98*(F32-F33))/(J33-F33)/0.98</f>
        <v>17.084804179898658</v>
      </c>
      <c r="M33" s="179"/>
      <c r="U33" s="172"/>
      <c r="V33" s="172">
        <f t="shared" si="0"/>
        <v>152.5</v>
      </c>
      <c r="W33" s="178">
        <v>712.2</v>
      </c>
      <c r="X33" s="178">
        <v>168.4</v>
      </c>
      <c r="Y33" s="172">
        <f t="shared" si="1"/>
        <v>35.400000000000006</v>
      </c>
      <c r="AA33" s="178">
        <v>3129.4</v>
      </c>
      <c r="AB33" s="172">
        <f t="shared" si="2"/>
        <v>199.30000000000018</v>
      </c>
    </row>
    <row r="34" spans="1:28" s="178" customFormat="1" ht="20.100000000000001" customHeight="1">
      <c r="A34" s="181" t="s">
        <v>912</v>
      </c>
      <c r="B34" s="182" t="s">
        <v>913</v>
      </c>
      <c r="C34" s="182" t="s">
        <v>914</v>
      </c>
      <c r="D34" s="182">
        <v>50</v>
      </c>
      <c r="E34" s="182" t="s">
        <v>915</v>
      </c>
      <c r="F34" s="194">
        <f>2*G35</f>
        <v>1.1759999999999999</v>
      </c>
      <c r="G34" s="182" t="s">
        <v>916</v>
      </c>
      <c r="H34" s="182">
        <f>H_PT('[1]原则性热力系统--无高加'!$F$51,'[1]原则性热力系统--无高加'!$D$51)</f>
        <v>210.34310024561859</v>
      </c>
      <c r="I34" s="182" t="s">
        <v>917</v>
      </c>
      <c r="J34" s="183">
        <f>F25+锅炉计算!G29</f>
        <v>0.05</v>
      </c>
      <c r="K34" s="175"/>
      <c r="M34" s="179"/>
      <c r="U34" s="172"/>
      <c r="V34" s="172">
        <f t="shared" si="0"/>
        <v>124.30000000000007</v>
      </c>
      <c r="W34" s="178">
        <v>559.70000000000005</v>
      </c>
      <c r="X34" s="178">
        <v>133</v>
      </c>
      <c r="Y34" s="172">
        <f t="shared" si="1"/>
        <v>29.299999999999997</v>
      </c>
      <c r="AA34" s="178">
        <v>2930.1</v>
      </c>
      <c r="AB34" s="172">
        <f t="shared" si="2"/>
        <v>175.90000000000009</v>
      </c>
    </row>
    <row r="35" spans="1:28" s="178" customFormat="1" ht="20.100000000000001" customHeight="1">
      <c r="A35" s="173" t="s">
        <v>918</v>
      </c>
      <c r="B35" s="184">
        <v>158</v>
      </c>
      <c r="C35" s="175">
        <f>HL_T($B$35)</f>
        <v>666.88660543988476</v>
      </c>
      <c r="D35" s="176"/>
      <c r="E35" s="175"/>
      <c r="F35" s="193"/>
      <c r="G35" s="185">
        <v>0.58799999999999997</v>
      </c>
      <c r="H35" s="177">
        <v>0.08</v>
      </c>
      <c r="I35" s="175">
        <f>G35/(1-H35)</f>
        <v>0.63913043478260867</v>
      </c>
      <c r="J35" s="175">
        <f>H_PS($I$35,$F$8)</f>
        <v>2784.7049632221642</v>
      </c>
      <c r="K35" s="175">
        <f>(F26*J34*(C35-H34)+(F26-K32-K33-F26*J34)*(C35-C36)-(K32+K33)*(F33-C35)*0.98)/((J35-C35)*0.98+(C35-C36))</f>
        <v>18.924067570824338</v>
      </c>
      <c r="M35" s="179"/>
      <c r="U35" s="172"/>
      <c r="V35" s="172">
        <f t="shared" si="0"/>
        <v>84.199999999999989</v>
      </c>
      <c r="W35" s="178">
        <v>435.4</v>
      </c>
      <c r="X35" s="178">
        <v>103.7</v>
      </c>
      <c r="Y35" s="172">
        <f t="shared" si="1"/>
        <v>20.100000000000009</v>
      </c>
      <c r="AA35" s="178">
        <v>2754.2</v>
      </c>
      <c r="AB35" s="172">
        <f t="shared" si="2"/>
        <v>118.59999999999991</v>
      </c>
    </row>
    <row r="36" spans="1:28" s="178" customFormat="1" ht="20.100000000000001" customHeight="1">
      <c r="A36" s="173" t="s">
        <v>919</v>
      </c>
      <c r="B36" s="180">
        <f>ROUND(B35-(B35-B38)/3,0)</f>
        <v>120</v>
      </c>
      <c r="C36" s="175">
        <f>C35-(C35-C38)/3</f>
        <v>505.67855576725356</v>
      </c>
      <c r="D36" s="176">
        <v>2.8</v>
      </c>
      <c r="E36" s="175">
        <f>B36+D36</f>
        <v>122.8</v>
      </c>
      <c r="F36" s="193">
        <f>HL_T($E$36)</f>
        <v>515.69400876810801</v>
      </c>
      <c r="G36" s="175">
        <f>P_T(E36)</f>
        <v>0.21693135193339991</v>
      </c>
      <c r="H36" s="177">
        <v>0.08</v>
      </c>
      <c r="I36" s="175">
        <f>G36/(1-H36)</f>
        <v>0.23579494775369556</v>
      </c>
      <c r="J36" s="175">
        <f>H_PS($I$36,$F$19)</f>
        <v>2604.0361292333741</v>
      </c>
      <c r="K36" s="175">
        <f>(F26-K35-K33-K32-J34*(F26))*(C36-C37)/(J36-F36)/0.98</f>
        <v>18.194231232360362</v>
      </c>
      <c r="M36" s="179"/>
      <c r="U36" s="172"/>
      <c r="V36" s="172">
        <f t="shared" si="0"/>
        <v>93.099999999999966</v>
      </c>
      <c r="W36" s="178">
        <v>351.2</v>
      </c>
      <c r="X36" s="178">
        <v>83.6</v>
      </c>
      <c r="Y36" s="172">
        <f t="shared" si="1"/>
        <v>22.199999999999996</v>
      </c>
      <c r="AA36" s="178">
        <v>2635.6</v>
      </c>
      <c r="AB36" s="172">
        <f t="shared" si="2"/>
        <v>127.5</v>
      </c>
    </row>
    <row r="37" spans="1:28" s="178" customFormat="1" ht="20.100000000000001" customHeight="1">
      <c r="A37" s="173" t="s">
        <v>920</v>
      </c>
      <c r="B37" s="180">
        <f>ROUND(B36-(B35-B38)/3,0)</f>
        <v>82</v>
      </c>
      <c r="C37" s="175">
        <f>C36-(C35-C38)/3</f>
        <v>344.47050609462235</v>
      </c>
      <c r="D37" s="176">
        <v>2.8</v>
      </c>
      <c r="E37" s="175">
        <f>B37+D37</f>
        <v>84.8</v>
      </c>
      <c r="F37" s="193">
        <f>HL_T(E37)</f>
        <v>355.10572427774986</v>
      </c>
      <c r="G37" s="175">
        <f>P_T(E37)</f>
        <v>5.7415181346206337E-2</v>
      </c>
      <c r="H37" s="177">
        <v>0.08</v>
      </c>
      <c r="I37" s="175">
        <f>G37/(1-H37)</f>
        <v>6.2407805811093842E-2</v>
      </c>
      <c r="J37" s="175">
        <f>H_PS($I$37,$F$19)</f>
        <v>2394.8177144506244</v>
      </c>
      <c r="K37" s="175">
        <f>((F26-K35-K33-K32-J34*(F26))*(C37-C38)-0.98*K36*(F36-F37))/0.98/(J37-F37)</f>
        <v>17.195564481544512</v>
      </c>
      <c r="M37" s="179"/>
      <c r="U37" s="172"/>
      <c r="V37" s="172" t="e">
        <f>W37-#REF!</f>
        <v>#REF!</v>
      </c>
      <c r="W37" s="178">
        <v>258.10000000000002</v>
      </c>
      <c r="X37" s="178">
        <v>61.4</v>
      </c>
      <c r="Y37" s="172" t="e">
        <f>X37-#REF!</f>
        <v>#REF!</v>
      </c>
      <c r="AA37" s="178">
        <v>2508.1</v>
      </c>
      <c r="AB37" s="172" t="e">
        <f>AA37-#REF!</f>
        <v>#REF!</v>
      </c>
    </row>
    <row r="38" spans="1:28" s="178" customFormat="1" ht="20.100000000000001" customHeight="1">
      <c r="A38" s="173" t="s">
        <v>921</v>
      </c>
      <c r="B38" s="180">
        <f>T_P('[1]原则性热力系统--无高加'!$G$55)</f>
        <v>43.761837194026782</v>
      </c>
      <c r="C38" s="175">
        <f>H_PT('[1]原则性热力系统--无高加'!$G$55,'[1]原则性热力系统--无高加'!$B$55)</f>
        <v>183.26245642199117</v>
      </c>
      <c r="D38" s="176"/>
      <c r="E38" s="180"/>
      <c r="F38" s="193"/>
      <c r="G38" s="176">
        <v>8.9999999999999993E-3</v>
      </c>
      <c r="H38" s="176"/>
      <c r="I38" s="176"/>
      <c r="J38" s="176"/>
      <c r="K38" s="176"/>
      <c r="L38" s="23"/>
    </row>
    <row r="39" spans="1:28" ht="20.100000000000001" customHeight="1">
      <c r="A39" s="416" t="s">
        <v>922</v>
      </c>
      <c r="B39" s="416"/>
      <c r="C39" s="416"/>
      <c r="D39" s="416"/>
      <c r="E39" s="416"/>
      <c r="F39" s="416"/>
      <c r="G39" s="416"/>
      <c r="H39" s="416"/>
      <c r="I39" s="416"/>
      <c r="J39" s="416"/>
      <c r="K39" s="416"/>
    </row>
    <row r="40" spans="1:28" ht="20.100000000000001" customHeight="1">
      <c r="A40" s="416"/>
      <c r="B40" s="416"/>
      <c r="C40" s="416"/>
      <c r="D40" s="416"/>
      <c r="E40" s="416"/>
      <c r="F40" s="416"/>
      <c r="G40" s="416"/>
      <c r="H40" s="416"/>
      <c r="I40" s="416"/>
      <c r="J40" s="416"/>
      <c r="K40" s="416"/>
    </row>
    <row r="41" spans="1:28" ht="20.100000000000001" customHeight="1">
      <c r="A41" s="406" t="s">
        <v>994</v>
      </c>
      <c r="B41" s="407"/>
      <c r="C41" s="407"/>
      <c r="D41" s="407"/>
      <c r="E41" s="407"/>
      <c r="F41" s="408"/>
    </row>
    <row r="42" spans="1:28" ht="20.100000000000001" customHeight="1">
      <c r="A42" s="148" t="s">
        <v>923</v>
      </c>
      <c r="B42" s="149" t="s">
        <v>924</v>
      </c>
      <c r="C42" s="149" t="s">
        <v>925</v>
      </c>
      <c r="D42" s="149"/>
      <c r="E42" s="149" t="s">
        <v>724</v>
      </c>
      <c r="F42" s="150">
        <v>0.82</v>
      </c>
    </row>
    <row r="43" spans="1:28" ht="20.100000000000001" customHeight="1">
      <c r="A43" s="148" t="s">
        <v>136</v>
      </c>
      <c r="B43" s="149" t="s">
        <v>726</v>
      </c>
      <c r="C43" s="149" t="s">
        <v>727</v>
      </c>
      <c r="D43" s="149"/>
      <c r="E43" s="149" t="s">
        <v>725</v>
      </c>
      <c r="F43" s="150">
        <f>F3</f>
        <v>0.95</v>
      </c>
    </row>
    <row r="44" spans="1:28" ht="20.100000000000001" customHeight="1">
      <c r="A44" s="148" t="s">
        <v>140</v>
      </c>
      <c r="B44" s="149" t="s">
        <v>728</v>
      </c>
      <c r="C44" s="149" t="s">
        <v>729</v>
      </c>
      <c r="D44" s="149"/>
      <c r="E44" s="149" t="s">
        <v>725</v>
      </c>
      <c r="F44" s="150">
        <f>F4</f>
        <v>0.97299999999999998</v>
      </c>
    </row>
    <row r="45" spans="1:28" ht="20.100000000000001" customHeight="1">
      <c r="A45" s="148" t="s">
        <v>144</v>
      </c>
      <c r="B45" s="149" t="s">
        <v>926</v>
      </c>
      <c r="C45" s="149"/>
      <c r="D45" s="151" t="s">
        <v>736</v>
      </c>
      <c r="E45" s="152" t="s">
        <v>731</v>
      </c>
      <c r="F45" s="147">
        <f>F5</f>
        <v>8.83</v>
      </c>
    </row>
    <row r="46" spans="1:28" ht="20.100000000000001" customHeight="1">
      <c r="A46" s="148" t="s">
        <v>148</v>
      </c>
      <c r="B46" s="154" t="s">
        <v>927</v>
      </c>
      <c r="C46" s="149"/>
      <c r="D46" s="151" t="s">
        <v>908</v>
      </c>
      <c r="E46" s="152" t="s">
        <v>928</v>
      </c>
      <c r="F46" s="147">
        <f>F6</f>
        <v>540</v>
      </c>
    </row>
    <row r="47" spans="1:28" ht="20.100000000000001" customHeight="1">
      <c r="A47" s="148" t="s">
        <v>151</v>
      </c>
      <c r="B47" s="155" t="s">
        <v>929</v>
      </c>
      <c r="C47" s="149" t="s">
        <v>930</v>
      </c>
      <c r="D47" s="156" t="s">
        <v>732</v>
      </c>
      <c r="E47" s="157" t="s">
        <v>733</v>
      </c>
      <c r="F47" s="147">
        <f>F26</f>
        <v>300</v>
      </c>
    </row>
    <row r="48" spans="1:28">
      <c r="A48" s="148" t="s">
        <v>188</v>
      </c>
      <c r="B48" s="154" t="s">
        <v>931</v>
      </c>
      <c r="C48" s="149"/>
      <c r="D48" s="151" t="s">
        <v>932</v>
      </c>
      <c r="E48" s="152" t="s">
        <v>933</v>
      </c>
      <c r="F48" s="147">
        <f>S_PT($F$45,$F$46)</f>
        <v>6.7965621973639525</v>
      </c>
    </row>
    <row r="49" spans="1:6">
      <c r="A49" s="148" t="s">
        <v>193</v>
      </c>
      <c r="B49" s="155" t="s">
        <v>873</v>
      </c>
      <c r="C49" s="152" t="s">
        <v>934</v>
      </c>
      <c r="D49" s="151" t="s">
        <v>875</v>
      </c>
      <c r="E49" s="151" t="s">
        <v>933</v>
      </c>
      <c r="F49" s="147">
        <f>H_PT($F$45,$F$46)</f>
        <v>3488.9820780514765</v>
      </c>
    </row>
    <row r="50" spans="1:6">
      <c r="A50" s="148" t="s">
        <v>196</v>
      </c>
      <c r="B50" s="25" t="s">
        <v>935</v>
      </c>
      <c r="C50" s="25"/>
      <c r="D50" s="151" t="s">
        <v>730</v>
      </c>
      <c r="E50" s="25"/>
      <c r="F50" s="147">
        <f>I32</f>
        <v>2.4165983397810802</v>
      </c>
    </row>
    <row r="51" spans="1:6">
      <c r="A51" s="148" t="s">
        <v>200</v>
      </c>
      <c r="B51" s="162" t="s">
        <v>931</v>
      </c>
      <c r="C51" s="152" t="s">
        <v>936</v>
      </c>
      <c r="D51" s="151" t="s">
        <v>932</v>
      </c>
      <c r="E51" s="151" t="s">
        <v>937</v>
      </c>
      <c r="F51" s="147">
        <f>F48</f>
        <v>6.7965621973639525</v>
      </c>
    </row>
    <row r="52" spans="1:6">
      <c r="A52" s="148" t="s">
        <v>201</v>
      </c>
      <c r="B52" s="154" t="s">
        <v>927</v>
      </c>
      <c r="C52" s="149"/>
      <c r="D52" s="151" t="s">
        <v>908</v>
      </c>
      <c r="E52" s="151" t="s">
        <v>933</v>
      </c>
      <c r="F52" s="147">
        <f>T_PS($F$50,$F$51)</f>
        <v>332.95203764991516</v>
      </c>
    </row>
    <row r="53" spans="1:6">
      <c r="A53" s="148" t="s">
        <v>203</v>
      </c>
      <c r="B53" s="162" t="s">
        <v>873</v>
      </c>
      <c r="C53" s="152" t="s">
        <v>938</v>
      </c>
      <c r="D53" s="151" t="s">
        <v>875</v>
      </c>
      <c r="E53" s="151" t="s">
        <v>933</v>
      </c>
      <c r="F53" s="147">
        <f>H_PS($F$50,$F$51)</f>
        <v>3089.6754159269049</v>
      </c>
    </row>
    <row r="54" spans="1:6">
      <c r="A54" s="148" t="s">
        <v>206</v>
      </c>
      <c r="B54" s="155" t="s">
        <v>929</v>
      </c>
      <c r="C54" s="149" t="s">
        <v>939</v>
      </c>
      <c r="D54" s="156" t="s">
        <v>732</v>
      </c>
      <c r="E54" s="25"/>
      <c r="F54" s="147">
        <f>K32</f>
        <v>18.010951273015337</v>
      </c>
    </row>
    <row r="55" spans="1:6">
      <c r="A55" s="148" t="s">
        <v>211</v>
      </c>
      <c r="B55" s="25" t="s">
        <v>940</v>
      </c>
      <c r="C55" s="25" t="s">
        <v>941</v>
      </c>
      <c r="D55" s="25" t="s">
        <v>942</v>
      </c>
      <c r="E55" s="25"/>
      <c r="F55" s="189">
        <f>(F47)*(F49-F53)*F43*F44*F42/3.6</f>
        <v>25221.772730881261</v>
      </c>
    </row>
    <row r="56" spans="1:6">
      <c r="A56" s="148" t="s">
        <v>214</v>
      </c>
      <c r="B56" s="25" t="s">
        <v>943</v>
      </c>
      <c r="C56" s="25"/>
      <c r="D56" s="151" t="s">
        <v>736</v>
      </c>
      <c r="E56" s="25"/>
      <c r="F56" s="147">
        <f>I33</f>
        <v>1.358180180064084</v>
      </c>
    </row>
    <row r="57" spans="1:6">
      <c r="A57" s="148" t="s">
        <v>215</v>
      </c>
      <c r="B57" s="162" t="s">
        <v>737</v>
      </c>
      <c r="C57" s="152" t="s">
        <v>738</v>
      </c>
      <c r="D57" s="151" t="s">
        <v>739</v>
      </c>
      <c r="E57" s="151" t="s">
        <v>740</v>
      </c>
      <c r="F57" s="147">
        <f>F51</f>
        <v>6.7965621973639525</v>
      </c>
    </row>
    <row r="58" spans="1:6">
      <c r="A58" s="148" t="s">
        <v>741</v>
      </c>
      <c r="B58" s="154" t="s">
        <v>761</v>
      </c>
      <c r="C58" s="149"/>
      <c r="D58" s="151" t="s">
        <v>758</v>
      </c>
      <c r="E58" s="151" t="s">
        <v>745</v>
      </c>
      <c r="F58" s="147">
        <f>T_PS($F$56,$F$57)</f>
        <v>257.14076205294816</v>
      </c>
    </row>
    <row r="59" spans="1:6">
      <c r="A59" s="148" t="s">
        <v>744</v>
      </c>
      <c r="B59" s="162" t="s">
        <v>742</v>
      </c>
      <c r="C59" s="152" t="s">
        <v>766</v>
      </c>
      <c r="D59" s="151" t="s">
        <v>743</v>
      </c>
      <c r="E59" s="151" t="s">
        <v>745</v>
      </c>
      <c r="F59" s="147">
        <f>H_PS($F$56,$F$57)</f>
        <v>2946.0587257209595</v>
      </c>
    </row>
    <row r="60" spans="1:6">
      <c r="A60" s="148" t="s">
        <v>746</v>
      </c>
      <c r="B60" s="155" t="s">
        <v>763</v>
      </c>
      <c r="C60" s="149" t="s">
        <v>768</v>
      </c>
      <c r="D60" s="156" t="s">
        <v>759</v>
      </c>
      <c r="E60" s="25"/>
      <c r="F60" s="147">
        <f>K33</f>
        <v>17.084804179898658</v>
      </c>
    </row>
    <row r="61" spans="1:6">
      <c r="A61" s="148" t="s">
        <v>750</v>
      </c>
      <c r="B61" s="25" t="s">
        <v>769</v>
      </c>
      <c r="C61" s="25" t="s">
        <v>747</v>
      </c>
      <c r="D61" s="25" t="s">
        <v>767</v>
      </c>
      <c r="E61" s="25"/>
      <c r="F61" s="189">
        <f>(F47-F54)*(F53-F59)*F44*F43*F42/3.6</f>
        <v>8526.777948658957</v>
      </c>
    </row>
    <row r="62" spans="1:6">
      <c r="A62" s="148" t="s">
        <v>753</v>
      </c>
      <c r="B62" s="25" t="s">
        <v>770</v>
      </c>
      <c r="C62" s="25"/>
      <c r="D62" s="151" t="s">
        <v>748</v>
      </c>
      <c r="E62" s="25"/>
      <c r="F62" s="147">
        <f>I35</f>
        <v>0.63913043478260867</v>
      </c>
    </row>
    <row r="63" spans="1:6">
      <c r="A63" s="148" t="s">
        <v>754</v>
      </c>
      <c r="B63" s="162" t="s">
        <v>734</v>
      </c>
      <c r="C63" s="152" t="s">
        <v>764</v>
      </c>
      <c r="D63" s="151" t="s">
        <v>735</v>
      </c>
      <c r="E63" s="151" t="s">
        <v>765</v>
      </c>
      <c r="F63" s="147">
        <f>F57</f>
        <v>6.7965621973639525</v>
      </c>
    </row>
    <row r="64" spans="1:6">
      <c r="A64" s="148" t="s">
        <v>755</v>
      </c>
      <c r="B64" s="154" t="s">
        <v>761</v>
      </c>
      <c r="C64" s="149"/>
      <c r="D64" s="151" t="s">
        <v>758</v>
      </c>
      <c r="E64" s="151" t="s">
        <v>745</v>
      </c>
      <c r="F64" s="147">
        <f>T_PS($F$62,$F$63)</f>
        <v>171.96343124301211</v>
      </c>
    </row>
    <row r="65" spans="1:6">
      <c r="A65" s="148" t="s">
        <v>756</v>
      </c>
      <c r="B65" s="162" t="s">
        <v>742</v>
      </c>
      <c r="C65" s="152" t="s">
        <v>766</v>
      </c>
      <c r="D65" s="151" t="s">
        <v>743</v>
      </c>
      <c r="E65" s="151" t="s">
        <v>745</v>
      </c>
      <c r="F65" s="147">
        <f>H_PS($F$62,$F$63)</f>
        <v>2784.7049632221642</v>
      </c>
    </row>
    <row r="66" spans="1:6">
      <c r="A66" s="148" t="s">
        <v>771</v>
      </c>
      <c r="B66" s="155" t="s">
        <v>763</v>
      </c>
      <c r="C66" s="149" t="s">
        <v>772</v>
      </c>
      <c r="D66" s="156" t="s">
        <v>759</v>
      </c>
      <c r="E66" s="25"/>
      <c r="F66" s="147">
        <f>K35</f>
        <v>18.924067570824338</v>
      </c>
    </row>
    <row r="67" spans="1:6">
      <c r="A67" s="148" t="s">
        <v>773</v>
      </c>
      <c r="B67" s="25" t="s">
        <v>774</v>
      </c>
      <c r="C67" s="25" t="s">
        <v>775</v>
      </c>
      <c r="D67" s="25" t="s">
        <v>767</v>
      </c>
      <c r="E67" s="25"/>
      <c r="F67" s="189">
        <f>(F47-F54-F60)*(F59-F65)*F44*F43*F42/3.6</f>
        <v>8999.4467398250254</v>
      </c>
    </row>
    <row r="68" spans="1:6" ht="15">
      <c r="A68" s="148" t="s">
        <v>776</v>
      </c>
      <c r="B68" s="200" t="s">
        <v>986</v>
      </c>
      <c r="C68" s="160" t="s">
        <v>777</v>
      </c>
      <c r="D68" s="151" t="s">
        <v>748</v>
      </c>
      <c r="E68" s="151" t="s">
        <v>762</v>
      </c>
      <c r="F68" s="201">
        <f>F10</f>
        <v>0.2</v>
      </c>
    </row>
    <row r="69" spans="1:6">
      <c r="A69" s="148" t="s">
        <v>778</v>
      </c>
      <c r="B69" s="154" t="s">
        <v>761</v>
      </c>
      <c r="C69" s="149"/>
      <c r="D69" s="151" t="s">
        <v>758</v>
      </c>
      <c r="E69" s="152" t="s">
        <v>762</v>
      </c>
      <c r="F69" s="158">
        <f>F11</f>
        <v>120.21154916847178</v>
      </c>
    </row>
    <row r="70" spans="1:6">
      <c r="A70" s="148" t="s">
        <v>779</v>
      </c>
      <c r="B70" s="162" t="s">
        <v>734</v>
      </c>
      <c r="C70" s="152" t="s">
        <v>764</v>
      </c>
      <c r="D70" s="151" t="s">
        <v>735</v>
      </c>
      <c r="E70" s="151" t="s">
        <v>765</v>
      </c>
      <c r="F70" s="150">
        <f>F48</f>
        <v>6.7965621973639525</v>
      </c>
    </row>
    <row r="71" spans="1:6">
      <c r="A71" s="148" t="s">
        <v>780</v>
      </c>
      <c r="B71" s="162" t="s">
        <v>742</v>
      </c>
      <c r="C71" s="152" t="s">
        <v>766</v>
      </c>
      <c r="D71" s="151" t="s">
        <v>743</v>
      </c>
      <c r="E71" s="151" t="s">
        <v>781</v>
      </c>
      <c r="F71" s="150">
        <f>F18</f>
        <v>2576.315831975322</v>
      </c>
    </row>
    <row r="72" spans="1:6" ht="14.25">
      <c r="A72" s="148" t="s">
        <v>782</v>
      </c>
      <c r="B72" s="155" t="s">
        <v>763</v>
      </c>
      <c r="C72" s="149" t="s">
        <v>783</v>
      </c>
      <c r="D72" s="156" t="s">
        <v>759</v>
      </c>
      <c r="E72" s="151"/>
      <c r="F72" s="186">
        <f>F15</f>
        <v>130</v>
      </c>
    </row>
    <row r="73" spans="1:6" ht="14.25">
      <c r="A73" s="148" t="s">
        <v>784</v>
      </c>
      <c r="B73" s="25" t="s">
        <v>987</v>
      </c>
      <c r="C73" s="25" t="s">
        <v>785</v>
      </c>
      <c r="D73" s="25" t="s">
        <v>767</v>
      </c>
      <c r="E73" s="25"/>
      <c r="F73" s="195">
        <f>(F47-F54-F60-F66)*(F65-F71)*F43*F44*F42/3.6</f>
        <v>10792.522704012579</v>
      </c>
    </row>
    <row r="74" spans="1:6">
      <c r="A74" s="148" t="s">
        <v>786</v>
      </c>
      <c r="B74" s="25" t="s">
        <v>787</v>
      </c>
      <c r="C74" s="25"/>
      <c r="D74" s="151" t="s">
        <v>748</v>
      </c>
      <c r="E74" s="25"/>
      <c r="F74" s="147">
        <f>I36</f>
        <v>0.23579494775369556</v>
      </c>
    </row>
    <row r="75" spans="1:6">
      <c r="A75" s="148" t="s">
        <v>788</v>
      </c>
      <c r="B75" s="162" t="s">
        <v>734</v>
      </c>
      <c r="C75" s="152" t="s">
        <v>764</v>
      </c>
      <c r="D75" s="151" t="s">
        <v>735</v>
      </c>
      <c r="E75" s="151" t="s">
        <v>765</v>
      </c>
      <c r="F75" s="147">
        <f>F63</f>
        <v>6.7965621973639525</v>
      </c>
    </row>
    <row r="76" spans="1:6">
      <c r="A76" s="148" t="s">
        <v>789</v>
      </c>
      <c r="B76" s="154" t="s">
        <v>761</v>
      </c>
      <c r="C76" s="149"/>
      <c r="D76" s="151" t="s">
        <v>758</v>
      </c>
      <c r="E76" s="151" t="s">
        <v>745</v>
      </c>
      <c r="F76" s="147">
        <f>T_PS($F$74,$F$75)</f>
        <v>125.49662697233066</v>
      </c>
    </row>
    <row r="77" spans="1:6">
      <c r="A77" s="148" t="s">
        <v>790</v>
      </c>
      <c r="B77" s="162" t="s">
        <v>742</v>
      </c>
      <c r="C77" s="152" t="s">
        <v>766</v>
      </c>
      <c r="D77" s="151" t="s">
        <v>743</v>
      </c>
      <c r="E77" s="151" t="s">
        <v>745</v>
      </c>
      <c r="F77" s="147">
        <f>H_PS($F$74,$F$75)</f>
        <v>2604.0361292333741</v>
      </c>
    </row>
    <row r="78" spans="1:6">
      <c r="A78" s="148" t="s">
        <v>791</v>
      </c>
      <c r="B78" s="155" t="s">
        <v>763</v>
      </c>
      <c r="C78" s="149" t="s">
        <v>792</v>
      </c>
      <c r="D78" s="156" t="s">
        <v>759</v>
      </c>
      <c r="E78" s="25"/>
      <c r="F78" s="147">
        <f>K36</f>
        <v>18.194231232360362</v>
      </c>
    </row>
    <row r="79" spans="1:6">
      <c r="A79" s="148" t="s">
        <v>793</v>
      </c>
      <c r="B79" s="25" t="s">
        <v>992</v>
      </c>
      <c r="C79" s="25" t="s">
        <v>794</v>
      </c>
      <c r="D79" s="25" t="s">
        <v>767</v>
      </c>
      <c r="E79" s="25"/>
      <c r="F79" s="189">
        <f>(F47-F72-F54-F60-F66)*(F71-F77)*F43*F44*F42/3.6</f>
        <v>-676.90768918271908</v>
      </c>
    </row>
    <row r="80" spans="1:6">
      <c r="A80" s="148" t="s">
        <v>795</v>
      </c>
      <c r="B80" s="25" t="s">
        <v>796</v>
      </c>
      <c r="C80" s="25"/>
      <c r="D80" s="151" t="s">
        <v>748</v>
      </c>
      <c r="E80" s="25"/>
      <c r="F80" s="147">
        <f>I37</f>
        <v>6.2407805811093842E-2</v>
      </c>
    </row>
    <row r="81" spans="1:13">
      <c r="A81" s="148" t="s">
        <v>797</v>
      </c>
      <c r="B81" s="162" t="s">
        <v>734</v>
      </c>
      <c r="C81" s="152" t="s">
        <v>764</v>
      </c>
      <c r="D81" s="151" t="s">
        <v>735</v>
      </c>
      <c r="E81" s="151" t="s">
        <v>765</v>
      </c>
      <c r="F81" s="147">
        <f>F63</f>
        <v>6.7965621973639525</v>
      </c>
    </row>
    <row r="82" spans="1:13">
      <c r="A82" s="148" t="s">
        <v>798</v>
      </c>
      <c r="B82" s="154" t="s">
        <v>761</v>
      </c>
      <c r="C82" s="149"/>
      <c r="D82" s="151" t="s">
        <v>758</v>
      </c>
      <c r="E82" s="151" t="s">
        <v>745</v>
      </c>
      <c r="F82" s="147">
        <f>T_PS($F$80,$F$81)</f>
        <v>86.938557955524118</v>
      </c>
    </row>
    <row r="83" spans="1:13">
      <c r="A83" s="148" t="s">
        <v>799</v>
      </c>
      <c r="B83" s="162" t="s">
        <v>742</v>
      </c>
      <c r="C83" s="152" t="s">
        <v>766</v>
      </c>
      <c r="D83" s="151" t="s">
        <v>743</v>
      </c>
      <c r="E83" s="151" t="s">
        <v>745</v>
      </c>
      <c r="F83" s="147">
        <f>H_PS($F$80,$F$81)</f>
        <v>2394.8177144506244</v>
      </c>
    </row>
    <row r="84" spans="1:13">
      <c r="A84" s="148" t="s">
        <v>800</v>
      </c>
      <c r="B84" s="155" t="s">
        <v>763</v>
      </c>
      <c r="C84" s="149" t="s">
        <v>792</v>
      </c>
      <c r="D84" s="156" t="s">
        <v>759</v>
      </c>
      <c r="E84" s="25"/>
      <c r="F84" s="147">
        <f>K37</f>
        <v>17.195564481544512</v>
      </c>
    </row>
    <row r="85" spans="1:13">
      <c r="A85" s="148" t="s">
        <v>801</v>
      </c>
      <c r="B85" s="25" t="s">
        <v>802</v>
      </c>
      <c r="C85" s="25" t="s">
        <v>803</v>
      </c>
      <c r="D85" s="25" t="s">
        <v>767</v>
      </c>
      <c r="E85" s="25"/>
      <c r="F85" s="189">
        <f>(F47-F72-F54-F60-F66-F78)*(F77-F83)*F43*F44*F42/3.6</f>
        <v>4307.4886798340131</v>
      </c>
    </row>
    <row r="86" spans="1:13">
      <c r="A86" s="148" t="s">
        <v>804</v>
      </c>
      <c r="B86" s="155" t="s">
        <v>989</v>
      </c>
      <c r="C86" s="152" t="s">
        <v>747</v>
      </c>
      <c r="D86" s="156" t="s">
        <v>748</v>
      </c>
      <c r="E86" s="151" t="s">
        <v>749</v>
      </c>
      <c r="F86" s="265">
        <v>5.0000000000000001E-3</v>
      </c>
      <c r="H86" s="187"/>
    </row>
    <row r="87" spans="1:13">
      <c r="A87" s="148" t="s">
        <v>805</v>
      </c>
      <c r="B87" s="162" t="s">
        <v>734</v>
      </c>
      <c r="C87" s="152" t="s">
        <v>764</v>
      </c>
      <c r="D87" s="151" t="s">
        <v>735</v>
      </c>
      <c r="E87" s="151" t="s">
        <v>765</v>
      </c>
      <c r="F87" s="147">
        <f>F75</f>
        <v>6.7965621973639525</v>
      </c>
    </row>
    <row r="88" spans="1:13">
      <c r="A88" s="148" t="s">
        <v>806</v>
      </c>
      <c r="B88" s="155" t="s">
        <v>742</v>
      </c>
      <c r="C88" s="152" t="s">
        <v>751</v>
      </c>
      <c r="D88" s="151" t="s">
        <v>743</v>
      </c>
      <c r="E88" s="151" t="s">
        <v>752</v>
      </c>
      <c r="F88" s="150">
        <f>H_PS($F$86,$F$87)</f>
        <v>2071.935779429929</v>
      </c>
    </row>
    <row r="89" spans="1:13">
      <c r="A89" s="148" t="s">
        <v>807</v>
      </c>
      <c r="B89" s="155" t="s">
        <v>808</v>
      </c>
      <c r="C89" s="152" t="s">
        <v>809</v>
      </c>
      <c r="D89" s="151" t="s">
        <v>810</v>
      </c>
      <c r="E89" s="151"/>
      <c r="F89" s="150">
        <f>F83-(F83-F88)*F42</f>
        <v>2130.0545277336541</v>
      </c>
    </row>
    <row r="90" spans="1:13">
      <c r="A90" s="148" t="s">
        <v>811</v>
      </c>
      <c r="B90" s="155" t="s">
        <v>812</v>
      </c>
      <c r="C90" s="152" t="s">
        <v>813</v>
      </c>
      <c r="D90" s="151" t="s">
        <v>743</v>
      </c>
      <c r="E90" s="152" t="s">
        <v>745</v>
      </c>
      <c r="F90" s="150">
        <f>HG_P(F86)</f>
        <v>2560.7651042009634</v>
      </c>
    </row>
    <row r="91" spans="1:13">
      <c r="A91" s="148" t="s">
        <v>814</v>
      </c>
      <c r="B91" s="155" t="s">
        <v>757</v>
      </c>
      <c r="C91" s="152" t="s">
        <v>815</v>
      </c>
      <c r="D91" s="151" t="s">
        <v>743</v>
      </c>
      <c r="E91" s="152" t="s">
        <v>745</v>
      </c>
      <c r="F91" s="150">
        <f>HL_P(F86)</f>
        <v>137.76511893654626</v>
      </c>
    </row>
    <row r="92" spans="1:13">
      <c r="A92" s="148" t="s">
        <v>816</v>
      </c>
      <c r="B92" s="155" t="s">
        <v>817</v>
      </c>
      <c r="C92" s="152" t="s">
        <v>818</v>
      </c>
      <c r="D92" s="151"/>
      <c r="E92" s="151" t="s">
        <v>988</v>
      </c>
      <c r="F92" s="203">
        <f>1-(F89-F91)/(F90-F91)</f>
        <v>0.17775921547119067</v>
      </c>
    </row>
    <row r="93" spans="1:13" ht="14.25">
      <c r="A93" s="148" t="s">
        <v>819</v>
      </c>
      <c r="B93" s="155" t="s">
        <v>763</v>
      </c>
      <c r="C93" s="149" t="s">
        <v>792</v>
      </c>
      <c r="D93" s="156" t="s">
        <v>759</v>
      </c>
      <c r="E93" s="33" t="s">
        <v>820</v>
      </c>
      <c r="F93" s="150">
        <f>F47-F54-F60-F66+F72-F78-F84</f>
        <v>340.59038126235674</v>
      </c>
    </row>
    <row r="94" spans="1:13">
      <c r="A94" s="148" t="s">
        <v>821</v>
      </c>
      <c r="B94" s="25" t="s">
        <v>822</v>
      </c>
      <c r="C94" s="25" t="s">
        <v>944</v>
      </c>
      <c r="D94" s="25" t="s">
        <v>767</v>
      </c>
      <c r="E94" s="25"/>
      <c r="F94" s="189">
        <f>(F47-F72-F54-F60-F66-F78-F84)*(F83-F89)*F43*F44*F42/3.6</f>
        <v>4492.5053937579469</v>
      </c>
      <c r="L94" s="29"/>
      <c r="M94" s="29"/>
    </row>
    <row r="95" spans="1:13" ht="14.25">
      <c r="A95" s="148" t="s">
        <v>823</v>
      </c>
      <c r="B95" s="25" t="s">
        <v>945</v>
      </c>
      <c r="C95" s="25"/>
      <c r="D95" s="25"/>
      <c r="E95" s="25"/>
      <c r="F95" s="196">
        <f>(F94+F85+F79+F67+F61+F55+F73)</f>
        <v>61663.606507787059</v>
      </c>
    </row>
    <row r="96" spans="1:13">
      <c r="A96" s="148" t="s">
        <v>824</v>
      </c>
      <c r="B96" s="25" t="s">
        <v>946</v>
      </c>
      <c r="C96" s="25"/>
      <c r="D96" s="25"/>
      <c r="E96" s="25" t="s">
        <v>947</v>
      </c>
      <c r="F96" s="202">
        <f>(F95-F24*1000)/F24/1000</f>
        <v>-0.15529306153716357</v>
      </c>
      <c r="G96" s="188"/>
    </row>
    <row r="97" spans="1:8">
      <c r="A97" s="406" t="s">
        <v>995</v>
      </c>
      <c r="B97" s="407"/>
      <c r="C97" s="407"/>
      <c r="D97" s="407"/>
      <c r="E97" s="407"/>
      <c r="F97" s="408"/>
    </row>
    <row r="98" spans="1:8">
      <c r="A98" s="148" t="s">
        <v>136</v>
      </c>
      <c r="B98" s="166" t="s">
        <v>991</v>
      </c>
      <c r="C98" s="166" t="s">
        <v>948</v>
      </c>
      <c r="D98" s="25" t="s">
        <v>949</v>
      </c>
      <c r="E98" s="25" t="s">
        <v>993</v>
      </c>
      <c r="F98" s="147">
        <f>(F7*1000*(锅炉计算!G22-锅炉计算!G26)+锅炉计算!G29*F7*1000*(锅炉计算!G24-锅炉计算!G26))/锅炉计算!G27/1000</f>
        <v>370608.80840717501</v>
      </c>
    </row>
    <row r="99" spans="1:8">
      <c r="A99" s="148" t="s">
        <v>140</v>
      </c>
      <c r="B99" s="155" t="s">
        <v>990</v>
      </c>
      <c r="C99" s="155" t="s">
        <v>950</v>
      </c>
      <c r="D99" s="266" t="s">
        <v>951</v>
      </c>
      <c r="E99" s="155"/>
      <c r="F99" s="147">
        <f>(F98*1000)/F95</f>
        <v>6010.1708186720061</v>
      </c>
    </row>
    <row r="100" spans="1:8">
      <c r="A100" s="148" t="s">
        <v>144</v>
      </c>
      <c r="B100" s="155" t="s">
        <v>952</v>
      </c>
      <c r="C100" s="155" t="s">
        <v>953</v>
      </c>
      <c r="D100" s="155" t="s">
        <v>954</v>
      </c>
      <c r="E100" s="155"/>
      <c r="F100" s="197">
        <f>(F7)*1000/F95</f>
        <v>2.1082127264739734</v>
      </c>
    </row>
    <row r="101" spans="1:8">
      <c r="A101" s="148" t="s">
        <v>148</v>
      </c>
      <c r="B101" s="155" t="s">
        <v>955</v>
      </c>
      <c r="C101" s="155" t="s">
        <v>956</v>
      </c>
      <c r="D101" s="155" t="s">
        <v>957</v>
      </c>
      <c r="E101" s="25" t="s">
        <v>958</v>
      </c>
      <c r="F101" s="147">
        <f>F98*1000/29308</f>
        <v>12645.312147098915</v>
      </c>
    </row>
    <row r="102" spans="1:8">
      <c r="A102" s="148" t="s">
        <v>151</v>
      </c>
      <c r="B102" s="155" t="s">
        <v>959</v>
      </c>
      <c r="C102" s="155" t="s">
        <v>960</v>
      </c>
      <c r="D102" s="155" t="s">
        <v>954</v>
      </c>
      <c r="E102" s="25"/>
      <c r="F102" s="147">
        <f>F101/F95</f>
        <v>0.20506929229807583</v>
      </c>
    </row>
    <row r="103" spans="1:8">
      <c r="A103" s="148" t="s">
        <v>188</v>
      </c>
      <c r="B103" s="155" t="s">
        <v>961</v>
      </c>
      <c r="C103" s="155" t="s">
        <v>962</v>
      </c>
      <c r="D103" s="155"/>
      <c r="E103" s="25" t="s">
        <v>963</v>
      </c>
      <c r="F103" s="197">
        <f>3600/F99</f>
        <v>0.59898463930771406</v>
      </c>
    </row>
    <row r="104" spans="1:8">
      <c r="A104" s="148" t="s">
        <v>193</v>
      </c>
      <c r="B104" s="155" t="s">
        <v>964</v>
      </c>
      <c r="C104" s="155" t="s">
        <v>965</v>
      </c>
      <c r="D104" s="155" t="s">
        <v>966</v>
      </c>
      <c r="E104" s="25" t="s">
        <v>760</v>
      </c>
      <c r="F104" s="198">
        <v>8000</v>
      </c>
    </row>
    <row r="105" spans="1:8" ht="16.5">
      <c r="A105" s="148" t="s">
        <v>196</v>
      </c>
      <c r="B105" s="155" t="s">
        <v>967</v>
      </c>
      <c r="C105" s="155"/>
      <c r="D105" s="155" t="s">
        <v>968</v>
      </c>
      <c r="E105" s="25"/>
      <c r="F105" s="197">
        <f>F104*F95/10000</f>
        <v>49330.885206229643</v>
      </c>
    </row>
    <row r="106" spans="1:8">
      <c r="A106" s="148" t="s">
        <v>200</v>
      </c>
      <c r="B106" s="155" t="s">
        <v>969</v>
      </c>
      <c r="C106" s="155"/>
      <c r="D106" s="155" t="s">
        <v>970</v>
      </c>
      <c r="E106" s="25" t="s">
        <v>760</v>
      </c>
      <c r="F106" s="198">
        <f>F105*F107</f>
        <v>4933.088520622965</v>
      </c>
      <c r="H106" s="29"/>
    </row>
    <row r="107" spans="1:8">
      <c r="A107" s="148" t="s">
        <v>201</v>
      </c>
      <c r="B107" s="155" t="s">
        <v>971</v>
      </c>
      <c r="C107" s="155"/>
      <c r="D107" s="155" t="s">
        <v>972</v>
      </c>
      <c r="E107" s="25"/>
      <c r="F107" s="197">
        <v>0.1</v>
      </c>
    </row>
    <row r="108" spans="1:8" ht="16.5">
      <c r="A108" s="148" t="s">
        <v>203</v>
      </c>
      <c r="B108" s="155" t="s">
        <v>973</v>
      </c>
      <c r="C108" s="155"/>
      <c r="D108" s="155" t="s">
        <v>968</v>
      </c>
      <c r="E108" s="25"/>
      <c r="F108" s="197">
        <f>F105-F106</f>
        <v>44397.796685606678</v>
      </c>
    </row>
    <row r="109" spans="1:8">
      <c r="A109" s="148" t="s">
        <v>206</v>
      </c>
      <c r="B109" s="155" t="s">
        <v>974</v>
      </c>
      <c r="C109" s="155" t="s">
        <v>975</v>
      </c>
      <c r="D109" s="155" t="s">
        <v>976</v>
      </c>
      <c r="E109" s="25" t="s">
        <v>977</v>
      </c>
      <c r="F109" s="189">
        <f>0.404*F108/1000</f>
        <v>17.936709860985097</v>
      </c>
    </row>
    <row r="110" spans="1:8">
      <c r="A110" s="148" t="s">
        <v>211</v>
      </c>
      <c r="B110" s="155" t="s">
        <v>974</v>
      </c>
      <c r="C110" s="155" t="s">
        <v>978</v>
      </c>
      <c r="D110" s="155" t="s">
        <v>976</v>
      </c>
      <c r="E110" s="25" t="s">
        <v>979</v>
      </c>
      <c r="F110" s="189">
        <f>F108*0.1229/1000</f>
        <v>5.4564892126610607</v>
      </c>
    </row>
    <row r="111" spans="1:8">
      <c r="A111" s="148" t="s">
        <v>214</v>
      </c>
      <c r="B111" s="155" t="s">
        <v>974</v>
      </c>
      <c r="C111" s="155" t="s">
        <v>980</v>
      </c>
      <c r="D111" s="155" t="s">
        <v>976</v>
      </c>
      <c r="E111" s="25" t="s">
        <v>981</v>
      </c>
      <c r="F111" s="189">
        <f>F108*360/1000/1000</f>
        <v>15.983206806818403</v>
      </c>
    </row>
  </sheetData>
  <mergeCells count="6">
    <mergeCell ref="A97:F97"/>
    <mergeCell ref="A1:F1"/>
    <mergeCell ref="A27:K27"/>
    <mergeCell ref="A28:K28"/>
    <mergeCell ref="A39:K40"/>
    <mergeCell ref="A41:F41"/>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sheetPr>
    <tabColor theme="5" tint="-0.249977111117893"/>
  </sheetPr>
  <dimension ref="A1:G80"/>
  <sheetViews>
    <sheetView topLeftCell="A4" workbookViewId="0">
      <selection activeCell="A17" sqref="A17"/>
    </sheetView>
  </sheetViews>
  <sheetFormatPr defaultRowHeight="13.5"/>
  <cols>
    <col min="1" max="1" width="35.125" customWidth="1"/>
    <col min="3" max="3" width="34.5" customWidth="1"/>
    <col min="6" max="6" width="44.125" customWidth="1"/>
    <col min="7" max="7" width="17.5" style="116" customWidth="1"/>
  </cols>
  <sheetData>
    <row r="1" spans="1:7">
      <c r="A1" s="259" t="s">
        <v>1301</v>
      </c>
      <c r="C1" s="259" t="s">
        <v>1275</v>
      </c>
    </row>
    <row r="2" spans="1:7" ht="57.75" customHeight="1">
      <c r="A2" s="296" t="s">
        <v>1300</v>
      </c>
      <c r="C2" s="417" t="s">
        <v>1281</v>
      </c>
      <c r="D2" s="417"/>
      <c r="E2" s="417"/>
      <c r="F2" s="417"/>
    </row>
    <row r="3" spans="1:7">
      <c r="C3" s="259" t="s">
        <v>1277</v>
      </c>
    </row>
    <row r="4" spans="1:7" ht="63" customHeight="1">
      <c r="C4" s="417" t="s">
        <v>1278</v>
      </c>
      <c r="D4" s="417"/>
      <c r="E4" s="417"/>
      <c r="F4" s="417"/>
    </row>
    <row r="5" spans="1:7">
      <c r="B5" s="9" t="s">
        <v>571</v>
      </c>
      <c r="C5" s="9" t="s">
        <v>572</v>
      </c>
      <c r="D5" s="6"/>
      <c r="E5" s="6"/>
      <c r="F5" s="6"/>
      <c r="G5" s="114"/>
    </row>
    <row r="6" spans="1:7">
      <c r="A6" s="339" t="s">
        <v>1587</v>
      </c>
      <c r="B6" s="19" t="s">
        <v>29</v>
      </c>
      <c r="C6" s="313" t="s">
        <v>547</v>
      </c>
      <c r="D6" s="21" t="s">
        <v>548</v>
      </c>
      <c r="E6" s="21" t="s">
        <v>549</v>
      </c>
      <c r="F6" s="333" t="s">
        <v>1588</v>
      </c>
      <c r="G6" s="456">
        <f>锅炉计算!G8</f>
        <v>0.1</v>
      </c>
    </row>
    <row r="7" spans="1:7">
      <c r="A7" s="339" t="s">
        <v>1677</v>
      </c>
      <c r="B7" s="19" t="s">
        <v>30</v>
      </c>
      <c r="C7" s="313" t="s">
        <v>1463</v>
      </c>
      <c r="D7" s="21" t="s">
        <v>551</v>
      </c>
      <c r="E7" s="21" t="s">
        <v>545</v>
      </c>
      <c r="F7" s="21" t="s">
        <v>552</v>
      </c>
      <c r="G7" s="456">
        <f>锅炉计算!G31</f>
        <v>30856.763806563027</v>
      </c>
    </row>
    <row r="8" spans="1:7">
      <c r="A8" s="369" t="s">
        <v>1607</v>
      </c>
      <c r="B8" s="19" t="s">
        <v>31</v>
      </c>
      <c r="C8" s="275" t="s">
        <v>1276</v>
      </c>
      <c r="D8" s="21" t="s">
        <v>553</v>
      </c>
      <c r="E8" s="21"/>
      <c r="F8" s="21"/>
      <c r="G8" s="456">
        <v>0.98</v>
      </c>
    </row>
    <row r="9" spans="1:7">
      <c r="A9" s="284" t="s">
        <v>1151</v>
      </c>
      <c r="B9" s="19" t="s">
        <v>32</v>
      </c>
      <c r="C9" s="21" t="s">
        <v>567</v>
      </c>
      <c r="D9" s="279" t="s">
        <v>544</v>
      </c>
      <c r="E9" s="21" t="s">
        <v>545</v>
      </c>
      <c r="F9" s="275" t="s">
        <v>546</v>
      </c>
      <c r="G9" s="456">
        <f>2*G8*G7*G6/100</f>
        <v>60.479257060863532</v>
      </c>
    </row>
    <row r="10" spans="1:7">
      <c r="A10" s="339" t="s">
        <v>1677</v>
      </c>
      <c r="B10" s="19" t="s">
        <v>33</v>
      </c>
      <c r="C10" s="21" t="s">
        <v>569</v>
      </c>
      <c r="D10" s="21" t="s">
        <v>554</v>
      </c>
      <c r="E10" s="21" t="s">
        <v>555</v>
      </c>
      <c r="F10" s="275" t="s">
        <v>556</v>
      </c>
      <c r="G10" s="456">
        <f>锅炉计算!G152</f>
        <v>164091.06485013731</v>
      </c>
    </row>
    <row r="11" spans="1:7">
      <c r="A11" s="284" t="s">
        <v>1151</v>
      </c>
      <c r="B11" s="19" t="s">
        <v>34</v>
      </c>
      <c r="C11" s="21" t="s">
        <v>557</v>
      </c>
      <c r="D11" s="279" t="s">
        <v>558</v>
      </c>
      <c r="E11" s="21" t="s">
        <v>570</v>
      </c>
      <c r="F11" s="21" t="s">
        <v>560</v>
      </c>
      <c r="G11" s="456">
        <f>G9/G10*10^6</f>
        <v>368.57129982122194</v>
      </c>
    </row>
    <row r="12" spans="1:7">
      <c r="A12" s="369" t="s">
        <v>1607</v>
      </c>
      <c r="B12" s="19" t="s">
        <v>35</v>
      </c>
      <c r="C12" s="21" t="s">
        <v>561</v>
      </c>
      <c r="D12" s="21" t="s">
        <v>562</v>
      </c>
      <c r="E12" s="21" t="s">
        <v>549</v>
      </c>
      <c r="F12" s="466" t="s">
        <v>1279</v>
      </c>
      <c r="G12" s="456">
        <v>80</v>
      </c>
    </row>
    <row r="13" spans="1:7">
      <c r="A13" s="337" t="s">
        <v>1679</v>
      </c>
      <c r="B13" s="19" t="s">
        <v>36</v>
      </c>
      <c r="C13" s="279" t="s">
        <v>563</v>
      </c>
      <c r="D13" s="279" t="s">
        <v>564</v>
      </c>
      <c r="E13" s="21" t="s">
        <v>559</v>
      </c>
      <c r="F13" s="21" t="s">
        <v>565</v>
      </c>
      <c r="G13" s="481">
        <f>(1-G12/100)*G11</f>
        <v>73.714259964244377</v>
      </c>
    </row>
    <row r="14" spans="1:7" ht="14.25">
      <c r="A14" s="369" t="s">
        <v>1607</v>
      </c>
      <c r="B14" s="281" t="s">
        <v>1291</v>
      </c>
      <c r="C14" s="313" t="s">
        <v>1464</v>
      </c>
      <c r="D14" s="279" t="s">
        <v>1295</v>
      </c>
      <c r="E14" s="279" t="s">
        <v>1293</v>
      </c>
      <c r="F14" s="279" t="s">
        <v>1294</v>
      </c>
      <c r="G14" s="482">
        <v>100</v>
      </c>
    </row>
    <row r="15" spans="1:7" ht="18.75">
      <c r="A15" s="337" t="s">
        <v>1679</v>
      </c>
      <c r="B15" s="281" t="s">
        <v>1292</v>
      </c>
      <c r="C15" s="279" t="s">
        <v>568</v>
      </c>
      <c r="D15" s="279" t="s">
        <v>1296</v>
      </c>
      <c r="E15" s="21" t="s">
        <v>545</v>
      </c>
      <c r="F15" s="21" t="s">
        <v>566</v>
      </c>
      <c r="G15" s="481">
        <f>(1-G12/100)*G9</f>
        <v>12.095851412172703</v>
      </c>
    </row>
    <row r="16" spans="1:7">
      <c r="B16" s="9" t="s">
        <v>634</v>
      </c>
      <c r="C16" s="9" t="s">
        <v>635</v>
      </c>
      <c r="D16" s="6"/>
      <c r="E16" s="6"/>
      <c r="F16" s="6"/>
      <c r="G16" s="483"/>
    </row>
    <row r="17" spans="1:7" ht="14.25">
      <c r="A17" s="368" t="s">
        <v>1678</v>
      </c>
      <c r="B17" s="19" t="s">
        <v>29</v>
      </c>
      <c r="C17" s="313" t="s">
        <v>636</v>
      </c>
      <c r="D17" s="21"/>
      <c r="E17" s="21" t="s">
        <v>549</v>
      </c>
      <c r="F17" s="333" t="s">
        <v>1707</v>
      </c>
      <c r="G17" s="470">
        <v>95</v>
      </c>
    </row>
    <row r="18" spans="1:7" ht="18.75">
      <c r="A18" s="284" t="s">
        <v>1151</v>
      </c>
      <c r="B18" s="19" t="s">
        <v>30</v>
      </c>
      <c r="C18" s="21" t="s">
        <v>637</v>
      </c>
      <c r="D18" s="21" t="s">
        <v>638</v>
      </c>
      <c r="E18" s="21" t="s">
        <v>575</v>
      </c>
      <c r="F18" s="21"/>
      <c r="G18" s="471">
        <f>(1-G12/100*G17/100)*G11</f>
        <v>88.457111957093261</v>
      </c>
    </row>
    <row r="19" spans="1:7" ht="18.75">
      <c r="A19" s="284" t="s">
        <v>1143</v>
      </c>
      <c r="B19" s="19" t="s">
        <v>31</v>
      </c>
      <c r="C19" s="21" t="s">
        <v>639</v>
      </c>
      <c r="D19" s="21"/>
      <c r="E19" s="21" t="s">
        <v>545</v>
      </c>
      <c r="F19" s="21"/>
      <c r="G19" s="471">
        <f>G9*G12/100*G17/100</f>
        <v>45.964235366256283</v>
      </c>
    </row>
    <row r="20" spans="1:7" ht="18.75">
      <c r="A20" s="284" t="s">
        <v>1143</v>
      </c>
      <c r="B20" s="19" t="s">
        <v>32</v>
      </c>
      <c r="C20" s="21" t="s">
        <v>640</v>
      </c>
      <c r="D20" s="21"/>
      <c r="E20" s="21" t="s">
        <v>596</v>
      </c>
      <c r="F20" s="21" t="s">
        <v>641</v>
      </c>
      <c r="G20" s="471">
        <f>G19/64</f>
        <v>0.71819117759775442</v>
      </c>
    </row>
    <row r="21" spans="1:7" ht="14.25">
      <c r="A21" s="368" t="s">
        <v>1678</v>
      </c>
      <c r="B21" s="19" t="s">
        <v>33</v>
      </c>
      <c r="C21" s="313" t="s">
        <v>642</v>
      </c>
      <c r="D21" s="21"/>
      <c r="E21" s="21"/>
      <c r="F21" s="466" t="s">
        <v>1708</v>
      </c>
      <c r="G21" s="470">
        <v>2</v>
      </c>
    </row>
    <row r="22" spans="1:7" ht="18.75">
      <c r="A22" s="284" t="s">
        <v>1143</v>
      </c>
      <c r="B22" s="19" t="s">
        <v>34</v>
      </c>
      <c r="C22" s="21" t="s">
        <v>643</v>
      </c>
      <c r="D22" s="21"/>
      <c r="E22" s="21" t="s">
        <v>596</v>
      </c>
      <c r="F22" s="21"/>
      <c r="G22" s="471">
        <f>G21*G20</f>
        <v>1.4363823551955088</v>
      </c>
    </row>
    <row r="23" spans="1:7" ht="18.75">
      <c r="A23" s="284" t="s">
        <v>1143</v>
      </c>
      <c r="B23" s="19" t="s">
        <v>35</v>
      </c>
      <c r="C23" s="309" t="s">
        <v>644</v>
      </c>
      <c r="D23" s="21"/>
      <c r="E23" s="21" t="s">
        <v>545</v>
      </c>
      <c r="F23" s="21" t="s">
        <v>645</v>
      </c>
      <c r="G23" s="471">
        <f>G22*100</f>
        <v>143.63823551955088</v>
      </c>
    </row>
    <row r="24" spans="1:7" ht="18.75">
      <c r="A24" s="284" t="s">
        <v>1143</v>
      </c>
      <c r="B24" s="19" t="s">
        <v>36</v>
      </c>
      <c r="C24" s="21" t="s">
        <v>646</v>
      </c>
      <c r="D24" s="21"/>
      <c r="E24" s="21" t="s">
        <v>545</v>
      </c>
      <c r="F24" s="21"/>
      <c r="G24" s="471">
        <f>G23/G21</f>
        <v>71.819117759775438</v>
      </c>
    </row>
    <row r="25" spans="1:7" ht="18.75">
      <c r="A25" s="284" t="s">
        <v>1143</v>
      </c>
      <c r="B25" s="19" t="s">
        <v>37</v>
      </c>
      <c r="C25" s="21" t="s">
        <v>647</v>
      </c>
      <c r="D25" s="21"/>
      <c r="E25" s="21" t="s">
        <v>545</v>
      </c>
      <c r="F25" s="21" t="s">
        <v>648</v>
      </c>
      <c r="G25" s="471">
        <f>G24/100*136</f>
        <v>97.6740001532946</v>
      </c>
    </row>
    <row r="26" spans="1:7" ht="14.25">
      <c r="A26" s="284" t="s">
        <v>1143</v>
      </c>
      <c r="B26" s="19" t="s">
        <v>39</v>
      </c>
      <c r="C26" s="21" t="s">
        <v>649</v>
      </c>
      <c r="D26" s="21"/>
      <c r="E26" s="21" t="s">
        <v>545</v>
      </c>
      <c r="F26" s="21"/>
      <c r="G26" s="471">
        <f>G25-G24</f>
        <v>25.854882393519162</v>
      </c>
    </row>
    <row r="27" spans="1:7" ht="14.25">
      <c r="A27" s="368" t="s">
        <v>1678</v>
      </c>
      <c r="B27" s="19" t="s">
        <v>48</v>
      </c>
      <c r="C27" s="21" t="s">
        <v>650</v>
      </c>
      <c r="D27" s="21"/>
      <c r="E27" s="21" t="s">
        <v>549</v>
      </c>
      <c r="F27" s="466" t="s">
        <v>1709</v>
      </c>
      <c r="G27" s="470">
        <v>90</v>
      </c>
    </row>
    <row r="28" spans="1:7" ht="14.25">
      <c r="A28" s="337" t="s">
        <v>1679</v>
      </c>
      <c r="B28" s="19" t="s">
        <v>49</v>
      </c>
      <c r="C28" s="21" t="s">
        <v>651</v>
      </c>
      <c r="D28" s="21"/>
      <c r="E28" s="21" t="s">
        <v>545</v>
      </c>
      <c r="F28" s="21"/>
      <c r="G28" s="484">
        <f>G23*100/G27</f>
        <v>159.59803946616765</v>
      </c>
    </row>
    <row r="29" spans="1:7" ht="14.25">
      <c r="A29" s="337" t="s">
        <v>1679</v>
      </c>
      <c r="B29" s="19" t="s">
        <v>50</v>
      </c>
      <c r="C29" s="279" t="s">
        <v>652</v>
      </c>
      <c r="D29" s="21"/>
      <c r="E29" s="21" t="s">
        <v>545</v>
      </c>
      <c r="F29" s="21"/>
      <c r="G29" s="484">
        <f>G28+G26</f>
        <v>185.4529218596868</v>
      </c>
    </row>
    <row r="30" spans="1:7">
      <c r="A30" s="368" t="s">
        <v>1678</v>
      </c>
      <c r="B30" s="257" t="s">
        <v>51</v>
      </c>
      <c r="C30" s="10" t="s">
        <v>1113</v>
      </c>
      <c r="D30" s="6"/>
      <c r="E30" s="10" t="s">
        <v>1114</v>
      </c>
      <c r="F30" s="467" t="s">
        <v>1710</v>
      </c>
      <c r="G30" s="483">
        <v>3</v>
      </c>
    </row>
    <row r="31" spans="1:7">
      <c r="A31" s="337" t="s">
        <v>1679</v>
      </c>
      <c r="B31" s="257" t="s">
        <v>52</v>
      </c>
      <c r="C31" s="10" t="s">
        <v>1115</v>
      </c>
      <c r="D31" s="6"/>
      <c r="E31" s="10" t="s">
        <v>1116</v>
      </c>
      <c r="F31" s="6"/>
      <c r="G31" s="483">
        <f>G30*24*G28</f>
        <v>11491.05884156407</v>
      </c>
    </row>
    <row r="32" spans="1:7" ht="14.25">
      <c r="A32" s="368" t="s">
        <v>1678</v>
      </c>
      <c r="B32" s="257" t="s">
        <v>53</v>
      </c>
      <c r="C32" s="119" t="s">
        <v>1117</v>
      </c>
      <c r="D32" s="119" t="s">
        <v>686</v>
      </c>
      <c r="E32" s="119" t="s">
        <v>1120</v>
      </c>
      <c r="F32" s="468" t="s">
        <v>1711</v>
      </c>
      <c r="G32" s="483">
        <v>0.8</v>
      </c>
    </row>
    <row r="33" spans="1:7" ht="14.25">
      <c r="A33" s="369" t="s">
        <v>1607</v>
      </c>
      <c r="B33" s="257" t="s">
        <v>54</v>
      </c>
      <c r="C33" s="119" t="s">
        <v>1465</v>
      </c>
      <c r="D33" s="119" t="s">
        <v>553</v>
      </c>
      <c r="E33" s="6"/>
      <c r="F33" s="119" t="s">
        <v>1712</v>
      </c>
      <c r="G33" s="483">
        <v>0.7</v>
      </c>
    </row>
    <row r="34" spans="1:7">
      <c r="A34" s="337" t="s">
        <v>1679</v>
      </c>
      <c r="B34" s="257" t="s">
        <v>55</v>
      </c>
      <c r="C34" s="10" t="s">
        <v>1118</v>
      </c>
      <c r="D34" s="6" t="s">
        <v>1119</v>
      </c>
      <c r="E34" s="10" t="s">
        <v>1121</v>
      </c>
      <c r="F34" s="6"/>
      <c r="G34" s="483">
        <f>G31/1000/G32/G33</f>
        <v>20.519747931364414</v>
      </c>
    </row>
    <row r="35" spans="1:7">
      <c r="A35" s="337" t="s">
        <v>1679</v>
      </c>
      <c r="B35" s="257" t="s">
        <v>56</v>
      </c>
      <c r="C35" s="10" t="s">
        <v>1122</v>
      </c>
      <c r="D35" s="6" t="s">
        <v>1284</v>
      </c>
      <c r="E35" s="6" t="s">
        <v>1286</v>
      </c>
      <c r="F35" s="6"/>
      <c r="G35" s="483">
        <f>G34/3.14/(G36/2)^2</f>
        <v>2.9044229202214313</v>
      </c>
    </row>
    <row r="36" spans="1:7">
      <c r="A36" s="368" t="s">
        <v>1713</v>
      </c>
      <c r="B36" s="257" t="s">
        <v>57</v>
      </c>
      <c r="C36" s="10" t="s">
        <v>1123</v>
      </c>
      <c r="D36" s="6" t="s">
        <v>1285</v>
      </c>
      <c r="E36" s="6" t="s">
        <v>1286</v>
      </c>
      <c r="F36" s="6"/>
      <c r="G36" s="483">
        <v>3</v>
      </c>
    </row>
    <row r="37" spans="1:7">
      <c r="B37" s="9" t="s">
        <v>90</v>
      </c>
      <c r="C37" s="9" t="s">
        <v>573</v>
      </c>
      <c r="D37" s="21"/>
      <c r="E37" s="21"/>
      <c r="F37" s="21"/>
      <c r="G37" s="456"/>
    </row>
    <row r="38" spans="1:7" ht="18.75">
      <c r="A38" s="368" t="s">
        <v>1678</v>
      </c>
      <c r="B38" s="19" t="s">
        <v>29</v>
      </c>
      <c r="C38" s="279" t="s">
        <v>580</v>
      </c>
      <c r="D38" s="279" t="s">
        <v>574</v>
      </c>
      <c r="E38" s="279" t="s">
        <v>575</v>
      </c>
      <c r="F38" s="466" t="s">
        <v>1714</v>
      </c>
      <c r="G38" s="485">
        <v>200</v>
      </c>
    </row>
    <row r="39" spans="1:7">
      <c r="A39" s="339" t="s">
        <v>1677</v>
      </c>
      <c r="B39" s="19" t="s">
        <v>30</v>
      </c>
      <c r="C39" s="21" t="s">
        <v>576</v>
      </c>
      <c r="D39" s="21" t="s">
        <v>554</v>
      </c>
      <c r="E39" s="21" t="s">
        <v>555</v>
      </c>
      <c r="F39" s="21" t="s">
        <v>556</v>
      </c>
      <c r="G39" s="456">
        <f>G10</f>
        <v>164091.06485013731</v>
      </c>
    </row>
    <row r="40" spans="1:7" ht="14.25">
      <c r="A40" s="369" t="s">
        <v>1607</v>
      </c>
      <c r="B40" s="19" t="s">
        <v>31</v>
      </c>
      <c r="C40" s="313" t="s">
        <v>577</v>
      </c>
      <c r="D40" s="21" t="s">
        <v>562</v>
      </c>
      <c r="E40" s="21" t="s">
        <v>549</v>
      </c>
      <c r="F40" s="480" t="s">
        <v>1718</v>
      </c>
      <c r="G40" s="470">
        <v>60</v>
      </c>
    </row>
    <row r="41" spans="1:7" ht="18.75">
      <c r="A41" s="284" t="s">
        <v>1143</v>
      </c>
      <c r="B41" s="19" t="s">
        <v>32</v>
      </c>
      <c r="C41" s="21" t="s">
        <v>581</v>
      </c>
      <c r="D41" s="21" t="s">
        <v>578</v>
      </c>
      <c r="E41" s="21" t="s">
        <v>545</v>
      </c>
      <c r="F41" s="21" t="s">
        <v>579</v>
      </c>
      <c r="G41" s="471">
        <f>G38*G39*10^-6</f>
        <v>32.81821297002746</v>
      </c>
    </row>
    <row r="42" spans="1:7" ht="18.75">
      <c r="A42" s="337" t="s">
        <v>1679</v>
      </c>
      <c r="B42" s="19" t="s">
        <v>33</v>
      </c>
      <c r="C42" s="313" t="s">
        <v>584</v>
      </c>
      <c r="D42" s="21" t="s">
        <v>582</v>
      </c>
      <c r="E42" s="21" t="s">
        <v>575</v>
      </c>
      <c r="F42" s="21" t="s">
        <v>583</v>
      </c>
      <c r="G42" s="5">
        <f>(1-G40/100)*G38</f>
        <v>80</v>
      </c>
    </row>
    <row r="43" spans="1:7" ht="18.75">
      <c r="A43" s="369" t="s">
        <v>1607</v>
      </c>
      <c r="B43" s="19" t="s">
        <v>34</v>
      </c>
      <c r="C43" s="279" t="s">
        <v>588</v>
      </c>
      <c r="D43" s="279" t="s">
        <v>585</v>
      </c>
      <c r="E43" s="279" t="s">
        <v>575</v>
      </c>
      <c r="F43" s="21" t="s">
        <v>550</v>
      </c>
      <c r="G43" s="482">
        <v>100</v>
      </c>
    </row>
    <row r="44" spans="1:7" ht="18.75">
      <c r="A44" s="337" t="s">
        <v>1679</v>
      </c>
      <c r="B44" s="19" t="s">
        <v>35</v>
      </c>
      <c r="C44" s="21" t="s">
        <v>589</v>
      </c>
      <c r="D44" s="279" t="s">
        <v>586</v>
      </c>
      <c r="E44" s="21" t="s">
        <v>545</v>
      </c>
      <c r="F44" s="21" t="s">
        <v>587</v>
      </c>
      <c r="G44" s="484">
        <f>(1-G40/100)*G41</f>
        <v>13.127285188010985</v>
      </c>
    </row>
    <row r="45" spans="1:7">
      <c r="B45" s="9" t="s">
        <v>590</v>
      </c>
      <c r="C45" s="9" t="s">
        <v>591</v>
      </c>
      <c r="G45" s="469"/>
    </row>
    <row r="46" spans="1:7" ht="14.25">
      <c r="A46" s="368" t="s">
        <v>1678</v>
      </c>
      <c r="B46" s="19" t="s">
        <v>29</v>
      </c>
      <c r="C46" s="118" t="s">
        <v>594</v>
      </c>
      <c r="D46" s="21" t="s">
        <v>592</v>
      </c>
      <c r="E46" s="21" t="s">
        <v>549</v>
      </c>
      <c r="F46" s="466" t="s">
        <v>1715</v>
      </c>
      <c r="G46" s="470">
        <v>95</v>
      </c>
    </row>
    <row r="47" spans="1:7" ht="14.25">
      <c r="A47" s="284" t="s">
        <v>1143</v>
      </c>
      <c r="B47" s="19" t="s">
        <v>30</v>
      </c>
      <c r="C47" s="21" t="s">
        <v>595</v>
      </c>
      <c r="D47" s="21"/>
      <c r="E47" s="21" t="s">
        <v>545</v>
      </c>
      <c r="F47" s="21" t="s">
        <v>593</v>
      </c>
      <c r="G47" s="471">
        <f>(G41-G44)*G46/100</f>
        <v>18.706381392915649</v>
      </c>
    </row>
    <row r="48" spans="1:7" ht="18.75">
      <c r="A48" s="284" t="s">
        <v>1143</v>
      </c>
      <c r="B48" s="19" t="s">
        <v>31</v>
      </c>
      <c r="C48" s="21" t="s">
        <v>597</v>
      </c>
      <c r="D48" s="21"/>
      <c r="E48" s="21" t="s">
        <v>545</v>
      </c>
      <c r="F48" s="21"/>
      <c r="G48" s="471">
        <f>G41-G47</f>
        <v>14.111831577111811</v>
      </c>
    </row>
    <row r="49" spans="1:7" ht="14.25">
      <c r="A49" s="284" t="s">
        <v>1143</v>
      </c>
      <c r="B49" s="19" t="s">
        <v>32</v>
      </c>
      <c r="C49" s="21" t="s">
        <v>598</v>
      </c>
      <c r="D49" s="21"/>
      <c r="E49" s="21" t="s">
        <v>596</v>
      </c>
      <c r="F49" s="21"/>
      <c r="G49" s="471">
        <f>G47/46</f>
        <v>0.40666046506338366</v>
      </c>
    </row>
    <row r="50" spans="1:7" ht="16.5">
      <c r="A50" s="369" t="s">
        <v>1607</v>
      </c>
      <c r="B50" s="19" t="s">
        <v>33</v>
      </c>
      <c r="C50" s="118" t="s">
        <v>599</v>
      </c>
      <c r="D50" s="21"/>
      <c r="E50" s="21" t="s">
        <v>575</v>
      </c>
      <c r="F50" s="466" t="s">
        <v>1287</v>
      </c>
      <c r="G50" s="470">
        <v>8</v>
      </c>
    </row>
    <row r="51" spans="1:7" ht="14.25">
      <c r="A51" s="284" t="s">
        <v>1143</v>
      </c>
      <c r="B51" s="19" t="s">
        <v>34</v>
      </c>
      <c r="C51" s="118" t="s">
        <v>600</v>
      </c>
      <c r="D51" s="21"/>
      <c r="E51" s="21" t="s">
        <v>545</v>
      </c>
      <c r="F51" s="21"/>
      <c r="G51" s="471">
        <f>G50*G39/10^6</f>
        <v>1.3127285188010984</v>
      </c>
    </row>
    <row r="52" spans="1:7" ht="18.75">
      <c r="A52" s="284" t="s">
        <v>1143</v>
      </c>
      <c r="B52" s="19" t="s">
        <v>35</v>
      </c>
      <c r="C52" s="118" t="s">
        <v>601</v>
      </c>
      <c r="D52" s="21"/>
      <c r="E52" s="21" t="s">
        <v>545</v>
      </c>
      <c r="F52" s="311" t="s">
        <v>1372</v>
      </c>
      <c r="G52" s="471">
        <f>G51/34*60</f>
        <v>2.3165797390607619</v>
      </c>
    </row>
    <row r="53" spans="1:7" ht="18.75">
      <c r="A53" s="369" t="s">
        <v>1607</v>
      </c>
      <c r="B53" s="19" t="s">
        <v>36</v>
      </c>
      <c r="C53" s="118" t="s">
        <v>604</v>
      </c>
      <c r="D53" s="118"/>
      <c r="E53" s="118"/>
      <c r="F53" s="118" t="s">
        <v>550</v>
      </c>
      <c r="G53" s="471">
        <v>0.8</v>
      </c>
    </row>
    <row r="54" spans="1:7" ht="18.75">
      <c r="A54" s="369" t="s">
        <v>1607</v>
      </c>
      <c r="B54" s="19" t="s">
        <v>37</v>
      </c>
      <c r="C54" s="118" t="s">
        <v>605</v>
      </c>
      <c r="D54" s="118"/>
      <c r="E54" s="118"/>
      <c r="F54" s="118" t="s">
        <v>602</v>
      </c>
      <c r="G54" s="471">
        <f>G53/2</f>
        <v>0.4</v>
      </c>
    </row>
    <row r="55" spans="1:7" ht="18.75">
      <c r="A55" s="369" t="s">
        <v>1607</v>
      </c>
      <c r="B55" s="19" t="s">
        <v>38</v>
      </c>
      <c r="C55" s="118" t="s">
        <v>606</v>
      </c>
      <c r="D55" s="118"/>
      <c r="E55" s="118"/>
      <c r="F55" s="118"/>
      <c r="G55" s="471">
        <v>1</v>
      </c>
    </row>
    <row r="56" spans="1:7" ht="14.25">
      <c r="A56" s="284" t="s">
        <v>1143</v>
      </c>
      <c r="B56" s="19" t="s">
        <v>39</v>
      </c>
      <c r="C56" s="118" t="s">
        <v>607</v>
      </c>
      <c r="D56" s="118"/>
      <c r="E56" s="118"/>
      <c r="F56" s="118"/>
      <c r="G56" s="471">
        <f>G47*G55*G54</f>
        <v>7.4825525571662599</v>
      </c>
    </row>
    <row r="57" spans="1:7" ht="14.25">
      <c r="A57" s="337" t="s">
        <v>1679</v>
      </c>
      <c r="B57" s="19" t="s">
        <v>48</v>
      </c>
      <c r="C57" s="118" t="s">
        <v>608</v>
      </c>
      <c r="D57" s="118"/>
      <c r="E57" s="118" t="s">
        <v>545</v>
      </c>
      <c r="F57" s="118" t="s">
        <v>603</v>
      </c>
      <c r="G57" s="471">
        <f>G47*G55*G54+G52</f>
        <v>9.7991322962270218</v>
      </c>
    </row>
    <row r="58" spans="1:7" ht="14.25">
      <c r="A58" s="337" t="s">
        <v>1679</v>
      </c>
      <c r="B58" s="19" t="s">
        <v>49</v>
      </c>
      <c r="C58" s="118" t="s">
        <v>609</v>
      </c>
      <c r="D58" s="118"/>
      <c r="E58" s="118" t="s">
        <v>545</v>
      </c>
      <c r="F58" s="479" t="s">
        <v>1716</v>
      </c>
      <c r="G58" s="471">
        <f>G57*75/25</f>
        <v>29.397396888681065</v>
      </c>
    </row>
    <row r="59" spans="1:7" ht="14.25">
      <c r="A59" s="368" t="s">
        <v>1678</v>
      </c>
      <c r="B59" s="19" t="s">
        <v>50</v>
      </c>
      <c r="C59" s="118" t="s">
        <v>610</v>
      </c>
      <c r="D59" s="118"/>
      <c r="E59" s="118" t="s">
        <v>1289</v>
      </c>
      <c r="F59" s="479" t="s">
        <v>1717</v>
      </c>
      <c r="G59" s="471">
        <v>5</v>
      </c>
    </row>
    <row r="60" spans="1:7" ht="14.25">
      <c r="A60" s="337" t="s">
        <v>1679</v>
      </c>
      <c r="B60" s="335" t="s">
        <v>51</v>
      </c>
      <c r="C60" s="118" t="s">
        <v>612</v>
      </c>
      <c r="D60" s="118"/>
      <c r="E60" s="118" t="s">
        <v>611</v>
      </c>
      <c r="F60" s="118"/>
      <c r="G60" s="484">
        <f>G59*G57*24/1000</f>
        <v>1.1758958755472426</v>
      </c>
    </row>
    <row r="61" spans="1:7">
      <c r="G61" s="469"/>
    </row>
    <row r="69" spans="2:7">
      <c r="B69" s="472"/>
      <c r="C69" s="472"/>
      <c r="D69" s="473"/>
      <c r="E69" s="473"/>
      <c r="F69" s="473"/>
      <c r="G69" s="474"/>
    </row>
    <row r="70" spans="2:7" ht="14.25">
      <c r="B70" s="475"/>
      <c r="C70" s="476"/>
      <c r="D70" s="476"/>
      <c r="E70" s="476"/>
      <c r="F70" s="476"/>
      <c r="G70" s="477"/>
    </row>
    <row r="71" spans="2:7" ht="14.25">
      <c r="B71" s="475"/>
      <c r="C71" s="476"/>
      <c r="D71" s="476"/>
      <c r="E71" s="476"/>
      <c r="F71" s="476"/>
      <c r="G71" s="478"/>
    </row>
    <row r="72" spans="2:7" ht="14.25">
      <c r="B72" s="475"/>
      <c r="C72" s="476"/>
      <c r="D72" s="476"/>
      <c r="E72" s="476"/>
      <c r="F72" s="476"/>
      <c r="G72" s="478"/>
    </row>
    <row r="73" spans="2:7" ht="14.25">
      <c r="B73" s="475"/>
      <c r="C73" s="476"/>
      <c r="D73" s="476"/>
      <c r="E73" s="476"/>
      <c r="F73" s="476"/>
      <c r="G73" s="477"/>
    </row>
    <row r="74" spans="2:7" ht="14.25">
      <c r="B74" s="475"/>
      <c r="C74" s="476"/>
      <c r="D74" s="476"/>
      <c r="E74" s="476"/>
      <c r="F74" s="476"/>
      <c r="G74" s="478"/>
    </row>
    <row r="75" spans="2:7" ht="14.25">
      <c r="B75" s="475"/>
      <c r="C75" s="476"/>
      <c r="D75" s="476"/>
      <c r="E75" s="476"/>
      <c r="F75" s="476"/>
      <c r="G75" s="478"/>
    </row>
    <row r="76" spans="2:7" ht="14.25">
      <c r="B76" s="475"/>
      <c r="C76" s="476"/>
      <c r="D76" s="476"/>
      <c r="E76" s="476"/>
      <c r="F76" s="476"/>
      <c r="G76" s="477"/>
    </row>
    <row r="77" spans="2:7" ht="14.25">
      <c r="B77" s="475"/>
      <c r="C77" s="476"/>
      <c r="D77" s="476"/>
      <c r="E77" s="476"/>
      <c r="F77" s="476"/>
      <c r="G77" s="478"/>
    </row>
    <row r="78" spans="2:7" ht="14.25">
      <c r="B78" s="475"/>
      <c r="C78" s="476"/>
      <c r="D78" s="476"/>
      <c r="E78" s="476"/>
      <c r="F78" s="476"/>
      <c r="G78" s="478"/>
    </row>
    <row r="79" spans="2:7" ht="14.25">
      <c r="B79" s="475"/>
      <c r="C79" s="476"/>
      <c r="D79" s="476"/>
      <c r="E79" s="476"/>
      <c r="F79" s="476"/>
      <c r="G79" s="478"/>
    </row>
    <row r="80" spans="2:7" ht="14.25">
      <c r="B80" s="475"/>
      <c r="C80" s="476"/>
      <c r="D80" s="476"/>
      <c r="E80" s="476"/>
      <c r="F80" s="476"/>
      <c r="G80" s="478"/>
    </row>
  </sheetData>
  <mergeCells count="2">
    <mergeCell ref="C2:F2"/>
    <mergeCell ref="C4:F4"/>
  </mergeCells>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sheetPr>
    <tabColor theme="8" tint="-0.249977111117893"/>
  </sheetPr>
  <dimension ref="A1:G40"/>
  <sheetViews>
    <sheetView defaultGridColor="0" colorId="28" workbookViewId="0">
      <selection activeCell="A6" sqref="A6"/>
    </sheetView>
  </sheetViews>
  <sheetFormatPr defaultRowHeight="13.5"/>
  <cols>
    <col min="1" max="1" width="32" customWidth="1"/>
    <col min="3" max="3" width="43.375" customWidth="1"/>
    <col min="5" max="5" width="13.625" customWidth="1"/>
    <col min="6" max="6" width="49" customWidth="1"/>
    <col min="7" max="7" width="12" customWidth="1"/>
  </cols>
  <sheetData>
    <row r="1" spans="1:7" ht="39.75" customHeight="1">
      <c r="B1" s="303" t="s">
        <v>714</v>
      </c>
      <c r="C1" s="418" t="s">
        <v>1290</v>
      </c>
      <c r="D1" s="419"/>
      <c r="E1" s="420"/>
      <c r="F1" s="421" t="s">
        <v>1302</v>
      </c>
      <c r="G1" s="422"/>
    </row>
    <row r="2" spans="1:7" ht="14.25">
      <c r="B2" s="136" t="s">
        <v>680</v>
      </c>
      <c r="C2" s="22" t="s">
        <v>681</v>
      </c>
      <c r="D2" s="143"/>
      <c r="E2" s="143"/>
      <c r="F2" s="118"/>
      <c r="G2" s="123"/>
    </row>
    <row r="3" spans="1:7" ht="14.25">
      <c r="A3" s="339" t="s">
        <v>1677</v>
      </c>
      <c r="B3" s="298" t="s">
        <v>29</v>
      </c>
      <c r="C3" s="118" t="s">
        <v>661</v>
      </c>
      <c r="D3" s="118"/>
      <c r="E3" s="118" t="s">
        <v>80</v>
      </c>
      <c r="F3" s="118"/>
      <c r="G3" s="471">
        <f>锅炉计算!G33+锅炉计算!G34</f>
        <v>2022.3687357585982</v>
      </c>
    </row>
    <row r="4" spans="1:7" ht="14.25">
      <c r="A4" s="339" t="s">
        <v>1719</v>
      </c>
      <c r="B4" s="128" t="s">
        <v>30</v>
      </c>
      <c r="C4" s="118" t="s">
        <v>95</v>
      </c>
      <c r="D4" s="118" t="s">
        <v>613</v>
      </c>
      <c r="E4" s="118" t="s">
        <v>18</v>
      </c>
      <c r="F4" s="118"/>
      <c r="G4" s="471">
        <f>锅炉计算!G35</f>
        <v>0.9</v>
      </c>
    </row>
    <row r="5" spans="1:7" ht="14.25">
      <c r="A5" s="284" t="s">
        <v>1288</v>
      </c>
      <c r="B5" s="128" t="s">
        <v>31</v>
      </c>
      <c r="C5" s="118" t="s">
        <v>660</v>
      </c>
      <c r="D5" s="118" t="s">
        <v>614</v>
      </c>
      <c r="E5" s="118" t="s">
        <v>80</v>
      </c>
      <c r="F5" s="118" t="s">
        <v>615</v>
      </c>
      <c r="G5" s="123">
        <f>G4*G3</f>
        <v>1820.1318621827384</v>
      </c>
    </row>
    <row r="6" spans="1:7" ht="16.5">
      <c r="A6" s="339" t="s">
        <v>1677</v>
      </c>
      <c r="B6" s="128" t="s">
        <v>32</v>
      </c>
      <c r="C6" s="120" t="s">
        <v>439</v>
      </c>
      <c r="D6" s="118" t="s">
        <v>616</v>
      </c>
      <c r="E6" s="118" t="s">
        <v>617</v>
      </c>
      <c r="F6" s="118" t="s">
        <v>556</v>
      </c>
      <c r="G6" s="123">
        <f>锅炉计算!G133</f>
        <v>156275.86562690654</v>
      </c>
    </row>
    <row r="7" spans="1:7" ht="16.5">
      <c r="A7" s="339" t="s">
        <v>1677</v>
      </c>
      <c r="B7" s="128" t="s">
        <v>33</v>
      </c>
      <c r="C7" s="120" t="s">
        <v>440</v>
      </c>
      <c r="D7" s="118" t="s">
        <v>618</v>
      </c>
      <c r="E7" s="118" t="s">
        <v>619</v>
      </c>
      <c r="F7" s="118" t="s">
        <v>556</v>
      </c>
      <c r="G7" s="123">
        <f>锅炉计算!G135</f>
        <v>278253.95238372619</v>
      </c>
    </row>
    <row r="8" spans="1:7" ht="16.5">
      <c r="A8" s="284" t="s">
        <v>1288</v>
      </c>
      <c r="B8" s="128" t="s">
        <v>34</v>
      </c>
      <c r="C8" s="120" t="s">
        <v>659</v>
      </c>
      <c r="D8" s="118" t="s">
        <v>620</v>
      </c>
      <c r="E8" s="118" t="s">
        <v>575</v>
      </c>
      <c r="F8" s="118" t="s">
        <v>621</v>
      </c>
      <c r="G8" s="123">
        <f>G5*10^6/G6</f>
        <v>11646.915887371415</v>
      </c>
    </row>
    <row r="9" spans="1:7" ht="16.5">
      <c r="A9" s="284" t="s">
        <v>1288</v>
      </c>
      <c r="B9" s="128" t="s">
        <v>35</v>
      </c>
      <c r="C9" s="120" t="s">
        <v>658</v>
      </c>
      <c r="D9" s="118" t="s">
        <v>622</v>
      </c>
      <c r="E9" s="118" t="s">
        <v>623</v>
      </c>
      <c r="F9" s="118" t="s">
        <v>624</v>
      </c>
      <c r="G9" s="123">
        <f>G5*10^6/G7</f>
        <v>6541.2614864592651</v>
      </c>
    </row>
    <row r="10" spans="1:7" ht="14.25">
      <c r="A10" s="369" t="s">
        <v>1607</v>
      </c>
      <c r="B10" s="128" t="s">
        <v>36</v>
      </c>
      <c r="C10" s="120" t="s">
        <v>1373</v>
      </c>
      <c r="D10" s="118" t="s">
        <v>625</v>
      </c>
      <c r="E10" s="118" t="s">
        <v>18</v>
      </c>
      <c r="F10" s="479" t="s">
        <v>1721</v>
      </c>
      <c r="G10" s="488">
        <v>99.8</v>
      </c>
    </row>
    <row r="11" spans="1:7" ht="16.5">
      <c r="A11" s="284" t="s">
        <v>1143</v>
      </c>
      <c r="B11" s="128" t="s">
        <v>37</v>
      </c>
      <c r="C11" s="120" t="s">
        <v>654</v>
      </c>
      <c r="D11" s="118" t="s">
        <v>626</v>
      </c>
      <c r="E11" s="118" t="s">
        <v>575</v>
      </c>
      <c r="F11" s="118" t="s">
        <v>627</v>
      </c>
      <c r="G11" s="123">
        <f>G8*(1-G10/100)</f>
        <v>23.293831774742852</v>
      </c>
    </row>
    <row r="12" spans="1:7" ht="14.25">
      <c r="A12" s="284" t="s">
        <v>1143</v>
      </c>
      <c r="B12" s="128" t="s">
        <v>38</v>
      </c>
      <c r="C12" s="120" t="s">
        <v>655</v>
      </c>
      <c r="D12" s="118" t="s">
        <v>628</v>
      </c>
      <c r="E12" s="118" t="s">
        <v>80</v>
      </c>
      <c r="F12" s="118" t="s">
        <v>629</v>
      </c>
      <c r="G12" s="123">
        <f>G5*(1-G10/100)</f>
        <v>3.6402637243654801</v>
      </c>
    </row>
    <row r="13" spans="1:7" ht="14.25">
      <c r="A13" s="337" t="s">
        <v>1679</v>
      </c>
      <c r="B13" s="128" t="s">
        <v>39</v>
      </c>
      <c r="C13" s="139" t="s">
        <v>656</v>
      </c>
      <c r="D13" s="118" t="s">
        <v>1725</v>
      </c>
      <c r="E13" s="118" t="s">
        <v>80</v>
      </c>
      <c r="F13" s="118" t="s">
        <v>630</v>
      </c>
      <c r="G13" s="127">
        <f>G5*G10/100</f>
        <v>1816.4915984583727</v>
      </c>
    </row>
    <row r="14" spans="1:7" ht="16.5">
      <c r="A14" s="339" t="s">
        <v>1677</v>
      </c>
      <c r="B14" s="128" t="s">
        <v>48</v>
      </c>
      <c r="C14" s="118" t="s">
        <v>657</v>
      </c>
      <c r="D14" s="118" t="s">
        <v>631</v>
      </c>
      <c r="E14" s="118" t="s">
        <v>632</v>
      </c>
      <c r="F14" s="118" t="s">
        <v>556</v>
      </c>
      <c r="G14" s="123">
        <f>锅炉计算!G155</f>
        <v>290354.89369607874</v>
      </c>
    </row>
    <row r="15" spans="1:7" ht="17.25" thickBot="1">
      <c r="A15" s="337" t="s">
        <v>1679</v>
      </c>
      <c r="B15" s="301" t="s">
        <v>1720</v>
      </c>
      <c r="C15" s="120" t="s">
        <v>1466</v>
      </c>
      <c r="D15" s="118"/>
      <c r="E15" s="118" t="s">
        <v>623</v>
      </c>
      <c r="F15" s="118" t="s">
        <v>633</v>
      </c>
      <c r="G15" s="121">
        <f>G5*(1-G10/100)*10^6/G14</f>
        <v>12.537290754864388</v>
      </c>
    </row>
    <row r="16" spans="1:7" ht="14.25">
      <c r="A16" s="369" t="s">
        <v>1607</v>
      </c>
      <c r="B16" s="301" t="s">
        <v>1297</v>
      </c>
      <c r="C16" s="302" t="s">
        <v>1298</v>
      </c>
      <c r="D16" s="118"/>
      <c r="E16" s="118" t="s">
        <v>1299</v>
      </c>
      <c r="F16" s="118" t="s">
        <v>1294</v>
      </c>
      <c r="G16" s="122">
        <v>30</v>
      </c>
    </row>
    <row r="17" spans="1:7" ht="14.25">
      <c r="B17" s="136" t="s">
        <v>682</v>
      </c>
      <c r="C17" s="22" t="s">
        <v>1734</v>
      </c>
      <c r="D17" s="118"/>
      <c r="E17" s="118"/>
      <c r="F17" s="118"/>
      <c r="G17" s="123"/>
    </row>
    <row r="18" spans="1:7" ht="14.25">
      <c r="A18" s="337" t="s">
        <v>1679</v>
      </c>
      <c r="B18" s="135" t="s">
        <v>29</v>
      </c>
      <c r="C18" s="139" t="s">
        <v>700</v>
      </c>
      <c r="D18" s="118" t="s">
        <v>683</v>
      </c>
      <c r="E18" s="118" t="s">
        <v>684</v>
      </c>
      <c r="F18" s="486" t="s">
        <v>1726</v>
      </c>
      <c r="G18" s="127">
        <f>G13*2.5/1000</f>
        <v>4.5412289961459322</v>
      </c>
    </row>
    <row r="19" spans="1:7" ht="14.25">
      <c r="A19" s="368" t="s">
        <v>1698</v>
      </c>
      <c r="B19" s="135" t="s">
        <v>30</v>
      </c>
      <c r="C19" s="119" t="s">
        <v>685</v>
      </c>
      <c r="D19" s="119" t="s">
        <v>686</v>
      </c>
      <c r="E19" s="119" t="s">
        <v>687</v>
      </c>
      <c r="F19" s="468" t="s">
        <v>1736</v>
      </c>
      <c r="G19" s="282">
        <v>0.2</v>
      </c>
    </row>
    <row r="20" spans="1:7" ht="14.25">
      <c r="A20" s="369" t="s">
        <v>1607</v>
      </c>
      <c r="B20" s="135" t="s">
        <v>31</v>
      </c>
      <c r="C20" s="119" t="s">
        <v>1310</v>
      </c>
      <c r="D20" s="119" t="s">
        <v>688</v>
      </c>
      <c r="E20" s="6"/>
      <c r="F20" s="468" t="s">
        <v>1722</v>
      </c>
      <c r="G20" s="282">
        <v>0.7</v>
      </c>
    </row>
    <row r="21" spans="1:7" ht="14.25">
      <c r="A21" s="368" t="s">
        <v>1698</v>
      </c>
      <c r="B21" s="135" t="s">
        <v>32</v>
      </c>
      <c r="C21" s="119" t="s">
        <v>689</v>
      </c>
      <c r="D21" s="119" t="s">
        <v>690</v>
      </c>
      <c r="E21" s="119" t="s">
        <v>691</v>
      </c>
      <c r="F21" s="468" t="s">
        <v>1723</v>
      </c>
      <c r="G21" s="304">
        <v>2</v>
      </c>
    </row>
    <row r="22" spans="1:7" ht="14.25">
      <c r="A22" s="337" t="s">
        <v>1679</v>
      </c>
      <c r="B22" s="135" t="s">
        <v>33</v>
      </c>
      <c r="C22" s="138" t="s">
        <v>1313</v>
      </c>
      <c r="D22" s="119" t="s">
        <v>692</v>
      </c>
      <c r="E22" s="119" t="s">
        <v>693</v>
      </c>
      <c r="F22" s="119" t="s">
        <v>694</v>
      </c>
      <c r="G22" s="137">
        <f>G13/1000*G21*24/G19/G20</f>
        <v>622.7971194714421</v>
      </c>
    </row>
    <row r="23" spans="1:7" ht="14.25">
      <c r="A23" s="368" t="s">
        <v>1698</v>
      </c>
      <c r="B23" s="135" t="s">
        <v>34</v>
      </c>
      <c r="C23" s="119" t="s">
        <v>695</v>
      </c>
      <c r="D23" s="119" t="s">
        <v>696</v>
      </c>
      <c r="E23" s="119" t="s">
        <v>697</v>
      </c>
      <c r="F23" s="6"/>
      <c r="G23" s="140">
        <v>10</v>
      </c>
    </row>
    <row r="24" spans="1:7" ht="14.25">
      <c r="A24" s="337" t="s">
        <v>1679</v>
      </c>
      <c r="B24" s="135" t="s">
        <v>35</v>
      </c>
      <c r="C24" s="119" t="s">
        <v>698</v>
      </c>
      <c r="D24" s="119" t="s">
        <v>699</v>
      </c>
      <c r="E24" s="119" t="s">
        <v>697</v>
      </c>
      <c r="F24" s="6" t="s">
        <v>720</v>
      </c>
      <c r="G24" s="137">
        <f>G22/(3.14*(G23/2)^2)</f>
        <v>7.9337212671521291</v>
      </c>
    </row>
    <row r="25" spans="1:7" ht="14.25">
      <c r="B25" s="136" t="s">
        <v>707</v>
      </c>
      <c r="C25" s="22" t="s">
        <v>1303</v>
      </c>
      <c r="D25" s="118"/>
      <c r="E25" s="118"/>
      <c r="F25" s="118"/>
      <c r="G25" s="123"/>
    </row>
    <row r="26" spans="1:7" ht="14.25">
      <c r="A26" s="368" t="s">
        <v>1698</v>
      </c>
      <c r="B26" s="135" t="s">
        <v>29</v>
      </c>
      <c r="C26" s="139" t="s">
        <v>701</v>
      </c>
      <c r="D26" s="118" t="s">
        <v>702</v>
      </c>
      <c r="E26" s="118"/>
      <c r="F26" s="486" t="s">
        <v>1724</v>
      </c>
      <c r="G26" s="127">
        <v>15</v>
      </c>
    </row>
    <row r="27" spans="1:7" ht="14.25">
      <c r="A27" s="337" t="s">
        <v>1679</v>
      </c>
      <c r="B27" s="135" t="s">
        <v>30</v>
      </c>
      <c r="C27" s="141" t="s">
        <v>703</v>
      </c>
      <c r="D27" s="119" t="s">
        <v>704</v>
      </c>
      <c r="E27" s="119" t="s">
        <v>706</v>
      </c>
      <c r="F27" s="6" t="s">
        <v>705</v>
      </c>
      <c r="G27" s="137">
        <f>1.2*G18*16.67/G26/1.293</f>
        <v>4.6838228841919687</v>
      </c>
    </row>
    <row r="28" spans="1:7" ht="14.25">
      <c r="B28" s="136" t="s">
        <v>708</v>
      </c>
      <c r="C28" s="22" t="s">
        <v>1735</v>
      </c>
      <c r="D28" s="118"/>
      <c r="E28" s="118"/>
      <c r="F28" s="118"/>
      <c r="G28" s="123"/>
    </row>
    <row r="29" spans="1:7" ht="14.25">
      <c r="A29" s="339" t="s">
        <v>1677</v>
      </c>
      <c r="B29" s="135" t="s">
        <v>29</v>
      </c>
      <c r="C29" s="139" t="s">
        <v>709</v>
      </c>
      <c r="D29" s="118" t="s">
        <v>710</v>
      </c>
      <c r="E29" s="118" t="s">
        <v>684</v>
      </c>
      <c r="F29" s="133"/>
      <c r="G29" s="127">
        <f>锅炉计算!G38</f>
        <v>0.20223687357585976</v>
      </c>
    </row>
    <row r="30" spans="1:7" ht="14.25">
      <c r="A30" s="337" t="s">
        <v>1679</v>
      </c>
      <c r="B30" s="135" t="s">
        <v>1305</v>
      </c>
      <c r="C30" s="6" t="s">
        <v>712</v>
      </c>
      <c r="D30" s="119" t="s">
        <v>715</v>
      </c>
      <c r="E30" s="118" t="s">
        <v>45</v>
      </c>
      <c r="F30" s="487" t="s">
        <v>1727</v>
      </c>
      <c r="G30" s="132">
        <f>3.75*G29</f>
        <v>0.75838827590947411</v>
      </c>
    </row>
    <row r="31" spans="1:7" ht="14.25">
      <c r="A31" s="337" t="s">
        <v>1679</v>
      </c>
      <c r="B31" s="135" t="s">
        <v>1306</v>
      </c>
      <c r="C31" s="6" t="s">
        <v>1467</v>
      </c>
      <c r="D31" s="119" t="s">
        <v>1307</v>
      </c>
      <c r="E31" s="118" t="s">
        <v>1308</v>
      </c>
      <c r="F31" s="487" t="s">
        <v>1309</v>
      </c>
      <c r="G31" s="117">
        <f>G30*6</f>
        <v>4.5503296554568449</v>
      </c>
    </row>
    <row r="32" spans="1:7" ht="14.25">
      <c r="A32" s="369" t="s">
        <v>1607</v>
      </c>
      <c r="B32" s="135" t="s">
        <v>31</v>
      </c>
      <c r="C32" s="6" t="s">
        <v>711</v>
      </c>
      <c r="D32" s="119" t="s">
        <v>702</v>
      </c>
      <c r="E32" s="6"/>
      <c r="F32" s="467" t="s">
        <v>1731</v>
      </c>
      <c r="G32" s="142">
        <v>2</v>
      </c>
    </row>
    <row r="33" spans="1:7" ht="14.25">
      <c r="A33" s="337" t="s">
        <v>1679</v>
      </c>
      <c r="B33" s="135" t="s">
        <v>32</v>
      </c>
      <c r="C33" s="141" t="s">
        <v>713</v>
      </c>
      <c r="D33" s="119" t="s">
        <v>1729</v>
      </c>
      <c r="E33" s="118" t="s">
        <v>684</v>
      </c>
      <c r="F33" s="467" t="s">
        <v>1311</v>
      </c>
      <c r="G33" s="137">
        <f>G30*G32</f>
        <v>1.5167765518189482</v>
      </c>
    </row>
    <row r="34" spans="1:7" ht="14.25">
      <c r="A34" s="337" t="s">
        <v>1679</v>
      </c>
      <c r="B34" s="135" t="s">
        <v>33</v>
      </c>
      <c r="C34" s="141" t="s">
        <v>1728</v>
      </c>
      <c r="D34" s="119" t="s">
        <v>716</v>
      </c>
      <c r="E34" s="118" t="s">
        <v>684</v>
      </c>
      <c r="F34" s="467" t="s">
        <v>1730</v>
      </c>
      <c r="G34" s="137">
        <f>1.67*G33</f>
        <v>2.5330168415376435</v>
      </c>
    </row>
    <row r="35" spans="1:7" ht="14.25">
      <c r="A35" s="368" t="s">
        <v>1698</v>
      </c>
      <c r="B35" s="135" t="s">
        <v>34</v>
      </c>
      <c r="C35" s="119" t="s">
        <v>717</v>
      </c>
      <c r="D35" s="119" t="s">
        <v>686</v>
      </c>
      <c r="E35" s="119" t="s">
        <v>687</v>
      </c>
      <c r="F35" s="468" t="s">
        <v>1732</v>
      </c>
      <c r="G35" s="131">
        <v>0.45</v>
      </c>
    </row>
    <row r="36" spans="1:7" ht="14.25">
      <c r="A36" s="369" t="s">
        <v>1607</v>
      </c>
      <c r="B36" s="135" t="s">
        <v>35</v>
      </c>
      <c r="C36" s="119" t="s">
        <v>718</v>
      </c>
      <c r="D36" s="119" t="s">
        <v>688</v>
      </c>
      <c r="E36" s="6"/>
      <c r="F36" s="468" t="s">
        <v>1722</v>
      </c>
      <c r="G36" s="131">
        <v>0.7</v>
      </c>
    </row>
    <row r="37" spans="1:7" ht="14.25">
      <c r="A37" s="368" t="s">
        <v>1698</v>
      </c>
      <c r="B37" s="135" t="s">
        <v>36</v>
      </c>
      <c r="C37" s="119" t="s">
        <v>719</v>
      </c>
      <c r="D37" s="119" t="s">
        <v>690</v>
      </c>
      <c r="E37" s="119" t="s">
        <v>691</v>
      </c>
      <c r="F37" s="468" t="s">
        <v>1733</v>
      </c>
      <c r="G37" s="134">
        <v>7</v>
      </c>
    </row>
    <row r="38" spans="1:7" ht="14.25">
      <c r="A38" s="337" t="s">
        <v>1679</v>
      </c>
      <c r="B38" s="135" t="s">
        <v>37</v>
      </c>
      <c r="C38" s="138" t="s">
        <v>1312</v>
      </c>
      <c r="D38" s="119" t="s">
        <v>692</v>
      </c>
      <c r="E38" s="119" t="s">
        <v>693</v>
      </c>
      <c r="F38" s="119" t="s">
        <v>694</v>
      </c>
      <c r="G38" s="137">
        <f>G29*G37*24/G35/G36</f>
        <v>107.85966590712522</v>
      </c>
    </row>
    <row r="39" spans="1:7" ht="14.25">
      <c r="A39" s="368" t="s">
        <v>1698</v>
      </c>
      <c r="B39" s="135" t="s">
        <v>38</v>
      </c>
      <c r="C39" s="119" t="s">
        <v>695</v>
      </c>
      <c r="D39" s="119" t="s">
        <v>696</v>
      </c>
      <c r="E39" s="119" t="s">
        <v>697</v>
      </c>
      <c r="F39" s="6"/>
      <c r="G39" s="140">
        <v>5</v>
      </c>
    </row>
    <row r="40" spans="1:7" ht="14.25">
      <c r="A40" s="337" t="s">
        <v>1679</v>
      </c>
      <c r="B40" s="135" t="s">
        <v>39</v>
      </c>
      <c r="C40" s="119" t="s">
        <v>698</v>
      </c>
      <c r="D40" s="119" t="s">
        <v>699</v>
      </c>
      <c r="E40" s="119" t="s">
        <v>697</v>
      </c>
      <c r="F40" s="6" t="s">
        <v>720</v>
      </c>
      <c r="G40" s="137">
        <f>G38/(3.14*(G39/2)^2)</f>
        <v>5.4960339315732591</v>
      </c>
    </row>
  </sheetData>
  <mergeCells count="2">
    <mergeCell ref="C1:E1"/>
    <mergeCell ref="F1:G1"/>
  </mergeCells>
  <phoneticPr fontId="1"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sheetPr codeName="Sheet5">
    <tabColor theme="6" tint="-0.499984740745262"/>
    <pageSetUpPr fitToPage="1"/>
  </sheetPr>
  <dimension ref="A1:W39"/>
  <sheetViews>
    <sheetView topLeftCell="A22" zoomScale="85" zoomScaleNormal="85" workbookViewId="0">
      <selection activeCell="M38" sqref="M38"/>
    </sheetView>
  </sheetViews>
  <sheetFormatPr defaultRowHeight="20.100000000000001" customHeight="1"/>
  <cols>
    <col min="1" max="1" width="33.375" style="208" customWidth="1"/>
    <col min="2" max="22" width="10.625" style="208" customWidth="1"/>
    <col min="23" max="257" width="9" style="208"/>
    <col min="258" max="278" width="10.625" style="208" customWidth="1"/>
    <col min="279" max="513" width="9" style="208"/>
    <col min="514" max="534" width="10.625" style="208" customWidth="1"/>
    <col min="535" max="769" width="9" style="208"/>
    <col min="770" max="790" width="10.625" style="208" customWidth="1"/>
    <col min="791" max="1025" width="9" style="208"/>
    <col min="1026" max="1046" width="10.625" style="208" customWidth="1"/>
    <col min="1047" max="1281" width="9" style="208"/>
    <col min="1282" max="1302" width="10.625" style="208" customWidth="1"/>
    <col min="1303" max="1537" width="9" style="208"/>
    <col min="1538" max="1558" width="10.625" style="208" customWidth="1"/>
    <col min="1559" max="1793" width="9" style="208"/>
    <col min="1794" max="1814" width="10.625" style="208" customWidth="1"/>
    <col min="1815" max="2049" width="9" style="208"/>
    <col min="2050" max="2070" width="10.625" style="208" customWidth="1"/>
    <col min="2071" max="2305" width="9" style="208"/>
    <col min="2306" max="2326" width="10.625" style="208" customWidth="1"/>
    <col min="2327" max="2561" width="9" style="208"/>
    <col min="2562" max="2582" width="10.625" style="208" customWidth="1"/>
    <col min="2583" max="2817" width="9" style="208"/>
    <col min="2818" max="2838" width="10.625" style="208" customWidth="1"/>
    <col min="2839" max="3073" width="9" style="208"/>
    <col min="3074" max="3094" width="10.625" style="208" customWidth="1"/>
    <col min="3095" max="3329" width="9" style="208"/>
    <col min="3330" max="3350" width="10.625" style="208" customWidth="1"/>
    <col min="3351" max="3585" width="9" style="208"/>
    <col min="3586" max="3606" width="10.625" style="208" customWidth="1"/>
    <col min="3607" max="3841" width="9" style="208"/>
    <col min="3842" max="3862" width="10.625" style="208" customWidth="1"/>
    <col min="3863" max="4097" width="9" style="208"/>
    <col min="4098" max="4118" width="10.625" style="208" customWidth="1"/>
    <col min="4119" max="4353" width="9" style="208"/>
    <col min="4354" max="4374" width="10.625" style="208" customWidth="1"/>
    <col min="4375" max="4609" width="9" style="208"/>
    <col min="4610" max="4630" width="10.625" style="208" customWidth="1"/>
    <col min="4631" max="4865" width="9" style="208"/>
    <col min="4866" max="4886" width="10.625" style="208" customWidth="1"/>
    <col min="4887" max="5121" width="9" style="208"/>
    <col min="5122" max="5142" width="10.625" style="208" customWidth="1"/>
    <col min="5143" max="5377" width="9" style="208"/>
    <col min="5378" max="5398" width="10.625" style="208" customWidth="1"/>
    <col min="5399" max="5633" width="9" style="208"/>
    <col min="5634" max="5654" width="10.625" style="208" customWidth="1"/>
    <col min="5655" max="5889" width="9" style="208"/>
    <col min="5890" max="5910" width="10.625" style="208" customWidth="1"/>
    <col min="5911" max="6145" width="9" style="208"/>
    <col min="6146" max="6166" width="10.625" style="208" customWidth="1"/>
    <col min="6167" max="6401" width="9" style="208"/>
    <col min="6402" max="6422" width="10.625" style="208" customWidth="1"/>
    <col min="6423" max="6657" width="9" style="208"/>
    <col min="6658" max="6678" width="10.625" style="208" customWidth="1"/>
    <col min="6679" max="6913" width="9" style="208"/>
    <col min="6914" max="6934" width="10.625" style="208" customWidth="1"/>
    <col min="6935" max="7169" width="9" style="208"/>
    <col min="7170" max="7190" width="10.625" style="208" customWidth="1"/>
    <col min="7191" max="7425" width="9" style="208"/>
    <col min="7426" max="7446" width="10.625" style="208" customWidth="1"/>
    <col min="7447" max="7681" width="9" style="208"/>
    <col min="7682" max="7702" width="10.625" style="208" customWidth="1"/>
    <col min="7703" max="7937" width="9" style="208"/>
    <col min="7938" max="7958" width="10.625" style="208" customWidth="1"/>
    <col min="7959" max="8193" width="9" style="208"/>
    <col min="8194" max="8214" width="10.625" style="208" customWidth="1"/>
    <col min="8215" max="8449" width="9" style="208"/>
    <col min="8450" max="8470" width="10.625" style="208" customWidth="1"/>
    <col min="8471" max="8705" width="9" style="208"/>
    <col min="8706" max="8726" width="10.625" style="208" customWidth="1"/>
    <col min="8727" max="8961" width="9" style="208"/>
    <col min="8962" max="8982" width="10.625" style="208" customWidth="1"/>
    <col min="8983" max="9217" width="9" style="208"/>
    <col min="9218" max="9238" width="10.625" style="208" customWidth="1"/>
    <col min="9239" max="9473" width="9" style="208"/>
    <col min="9474" max="9494" width="10.625" style="208" customWidth="1"/>
    <col min="9495" max="9729" width="9" style="208"/>
    <col min="9730" max="9750" width="10.625" style="208" customWidth="1"/>
    <col min="9751" max="9985" width="9" style="208"/>
    <col min="9986" max="10006" width="10.625" style="208" customWidth="1"/>
    <col min="10007" max="10241" width="9" style="208"/>
    <col min="10242" max="10262" width="10.625" style="208" customWidth="1"/>
    <col min="10263" max="10497" width="9" style="208"/>
    <col min="10498" max="10518" width="10.625" style="208" customWidth="1"/>
    <col min="10519" max="10753" width="9" style="208"/>
    <col min="10754" max="10774" width="10.625" style="208" customWidth="1"/>
    <col min="10775" max="11009" width="9" style="208"/>
    <col min="11010" max="11030" width="10.625" style="208" customWidth="1"/>
    <col min="11031" max="11265" width="9" style="208"/>
    <col min="11266" max="11286" width="10.625" style="208" customWidth="1"/>
    <col min="11287" max="11521" width="9" style="208"/>
    <col min="11522" max="11542" width="10.625" style="208" customWidth="1"/>
    <col min="11543" max="11777" width="9" style="208"/>
    <col min="11778" max="11798" width="10.625" style="208" customWidth="1"/>
    <col min="11799" max="12033" width="9" style="208"/>
    <col min="12034" max="12054" width="10.625" style="208" customWidth="1"/>
    <col min="12055" max="12289" width="9" style="208"/>
    <col min="12290" max="12310" width="10.625" style="208" customWidth="1"/>
    <col min="12311" max="12545" width="9" style="208"/>
    <col min="12546" max="12566" width="10.625" style="208" customWidth="1"/>
    <col min="12567" max="12801" width="9" style="208"/>
    <col min="12802" max="12822" width="10.625" style="208" customWidth="1"/>
    <col min="12823" max="13057" width="9" style="208"/>
    <col min="13058" max="13078" width="10.625" style="208" customWidth="1"/>
    <col min="13079" max="13313" width="9" style="208"/>
    <col min="13314" max="13334" width="10.625" style="208" customWidth="1"/>
    <col min="13335" max="13569" width="9" style="208"/>
    <col min="13570" max="13590" width="10.625" style="208" customWidth="1"/>
    <col min="13591" max="13825" width="9" style="208"/>
    <col min="13826" max="13846" width="10.625" style="208" customWidth="1"/>
    <col min="13847" max="14081" width="9" style="208"/>
    <col min="14082" max="14102" width="10.625" style="208" customWidth="1"/>
    <col min="14103" max="14337" width="9" style="208"/>
    <col min="14338" max="14358" width="10.625" style="208" customWidth="1"/>
    <col min="14359" max="14593" width="9" style="208"/>
    <col min="14594" max="14614" width="10.625" style="208" customWidth="1"/>
    <col min="14615" max="14849" width="9" style="208"/>
    <col min="14850" max="14870" width="10.625" style="208" customWidth="1"/>
    <col min="14871" max="15105" width="9" style="208"/>
    <col min="15106" max="15126" width="10.625" style="208" customWidth="1"/>
    <col min="15127" max="15361" width="9" style="208"/>
    <col min="15362" max="15382" width="10.625" style="208" customWidth="1"/>
    <col min="15383" max="15617" width="9" style="208"/>
    <col min="15618" max="15638" width="10.625" style="208" customWidth="1"/>
    <col min="15639" max="15873" width="9" style="208"/>
    <col min="15874" max="15894" width="10.625" style="208" customWidth="1"/>
    <col min="15895" max="16129" width="9" style="208"/>
    <col min="16130" max="16150" width="10.625" style="208" customWidth="1"/>
    <col min="16151" max="16384" width="9" style="208"/>
  </cols>
  <sheetData>
    <row r="1" spans="2:23" ht="20.100000000000001" customHeight="1">
      <c r="B1" s="423" t="s">
        <v>1079</v>
      </c>
      <c r="C1" s="424"/>
      <c r="D1" s="424"/>
      <c r="E1" s="424"/>
      <c r="F1" s="424"/>
      <c r="G1" s="424"/>
      <c r="H1" s="424"/>
      <c r="I1" s="424"/>
      <c r="J1" s="424"/>
      <c r="K1" s="424"/>
      <c r="L1" s="424"/>
      <c r="M1" s="424"/>
      <c r="N1" s="424"/>
      <c r="O1" s="424"/>
      <c r="P1" s="424"/>
      <c r="Q1" s="424"/>
      <c r="R1" s="424"/>
      <c r="S1" s="424"/>
      <c r="T1" s="424"/>
      <c r="U1" s="424"/>
      <c r="V1" s="425"/>
      <c r="W1" s="207" t="s">
        <v>999</v>
      </c>
    </row>
    <row r="2" spans="2:23" ht="50.1" customHeight="1">
      <c r="B2" s="209" t="s">
        <v>1000</v>
      </c>
      <c r="C2" s="210" t="s">
        <v>1001</v>
      </c>
      <c r="D2" s="211" t="s">
        <v>1002</v>
      </c>
      <c r="E2" s="211" t="s">
        <v>1003</v>
      </c>
      <c r="F2" s="210" t="s">
        <v>1004</v>
      </c>
      <c r="G2" s="210" t="s">
        <v>1005</v>
      </c>
      <c r="H2" s="210" t="s">
        <v>662</v>
      </c>
      <c r="I2" s="210" t="s">
        <v>1006</v>
      </c>
      <c r="J2" s="212" t="s">
        <v>996</v>
      </c>
      <c r="K2" s="210" t="s">
        <v>663</v>
      </c>
      <c r="L2" s="210" t="s">
        <v>1007</v>
      </c>
      <c r="M2" s="210" t="s">
        <v>1008</v>
      </c>
      <c r="N2" s="213" t="s">
        <v>1009</v>
      </c>
      <c r="O2" s="212" t="s">
        <v>1010</v>
      </c>
      <c r="P2" s="214" t="s">
        <v>1011</v>
      </c>
      <c r="Q2" s="215" t="s">
        <v>1012</v>
      </c>
      <c r="R2" s="213" t="s">
        <v>1013</v>
      </c>
      <c r="S2" s="210" t="s">
        <v>1014</v>
      </c>
      <c r="T2" s="212" t="s">
        <v>1015</v>
      </c>
      <c r="U2" s="213" t="s">
        <v>1016</v>
      </c>
      <c r="V2" s="216" t="s">
        <v>1017</v>
      </c>
    </row>
    <row r="3" spans="2:23" ht="20.100000000000001" customHeight="1">
      <c r="B3" s="217"/>
      <c r="C3" s="218"/>
      <c r="D3" s="218"/>
      <c r="E3" s="218"/>
      <c r="F3" s="218"/>
      <c r="G3" s="218"/>
      <c r="H3" s="218"/>
      <c r="I3" s="218"/>
      <c r="J3" s="218"/>
      <c r="K3" s="218"/>
      <c r="L3" s="218" t="s">
        <v>1018</v>
      </c>
      <c r="M3" s="218" t="s">
        <v>1018</v>
      </c>
      <c r="N3" s="218" t="s">
        <v>1018</v>
      </c>
      <c r="O3" s="218"/>
      <c r="P3" s="218"/>
      <c r="Q3" s="218"/>
      <c r="R3" s="218"/>
      <c r="S3" s="218" t="s">
        <v>1019</v>
      </c>
      <c r="T3" s="218"/>
      <c r="U3" s="218" t="s">
        <v>1020</v>
      </c>
      <c r="V3" s="219" t="s">
        <v>1018</v>
      </c>
    </row>
    <row r="4" spans="2:23" ht="20.100000000000001" customHeight="1">
      <c r="B4" s="217" t="s">
        <v>1021</v>
      </c>
      <c r="C4" s="220" t="s">
        <v>1022</v>
      </c>
      <c r="D4" s="221" t="s">
        <v>1023</v>
      </c>
      <c r="E4" s="221" t="s">
        <v>1024</v>
      </c>
      <c r="F4" s="218" t="s">
        <v>246</v>
      </c>
      <c r="G4" s="218" t="s">
        <v>1025</v>
      </c>
      <c r="H4" s="220" t="s">
        <v>1026</v>
      </c>
      <c r="I4" s="220" t="s">
        <v>1027</v>
      </c>
      <c r="J4" s="218" t="s">
        <v>1028</v>
      </c>
      <c r="K4" s="218" t="s">
        <v>1029</v>
      </c>
      <c r="L4" s="218" t="s">
        <v>1030</v>
      </c>
      <c r="M4" s="220" t="s">
        <v>1031</v>
      </c>
      <c r="N4" s="214" t="s">
        <v>1032</v>
      </c>
      <c r="O4" s="218" t="s">
        <v>1033</v>
      </c>
      <c r="P4" s="220" t="s">
        <v>1034</v>
      </c>
      <c r="Q4" s="220" t="s">
        <v>1035</v>
      </c>
      <c r="R4" s="220" t="s">
        <v>1036</v>
      </c>
      <c r="S4" s="220" t="s">
        <v>1037</v>
      </c>
      <c r="T4" s="218" t="s">
        <v>1038</v>
      </c>
      <c r="U4" s="218" t="s">
        <v>1039</v>
      </c>
      <c r="V4" s="219" t="s">
        <v>1040</v>
      </c>
    </row>
    <row r="5" spans="2:23" ht="20.100000000000001" customHeight="1">
      <c r="B5" s="217" t="s">
        <v>1041</v>
      </c>
      <c r="C5" s="218" t="s">
        <v>1041</v>
      </c>
      <c r="D5" s="218" t="s">
        <v>1041</v>
      </c>
      <c r="E5" s="218" t="s">
        <v>1042</v>
      </c>
      <c r="F5" s="220" t="s">
        <v>1043</v>
      </c>
      <c r="G5" s="218" t="s">
        <v>1044</v>
      </c>
      <c r="H5" s="221" t="s">
        <v>1045</v>
      </c>
      <c r="I5" s="221" t="s">
        <v>1046</v>
      </c>
      <c r="J5" s="221" t="s">
        <v>1045</v>
      </c>
      <c r="K5" s="218" t="s">
        <v>1044</v>
      </c>
      <c r="L5" s="221" t="s">
        <v>1046</v>
      </c>
      <c r="M5" s="221" t="s">
        <v>1046</v>
      </c>
      <c r="N5" s="221" t="s">
        <v>1047</v>
      </c>
      <c r="O5" s="220" t="s">
        <v>1048</v>
      </c>
      <c r="P5" s="220" t="s">
        <v>1049</v>
      </c>
      <c r="Q5" s="221" t="s">
        <v>1047</v>
      </c>
      <c r="R5" s="221" t="s">
        <v>1047</v>
      </c>
      <c r="S5" s="218" t="s">
        <v>1042</v>
      </c>
      <c r="T5" s="218" t="s">
        <v>1042</v>
      </c>
      <c r="U5" s="218"/>
      <c r="V5" s="222" t="s">
        <v>1047</v>
      </c>
    </row>
    <row r="6" spans="2:23" ht="50.1" customHeight="1">
      <c r="B6" s="217"/>
      <c r="C6" s="218"/>
      <c r="D6" s="218"/>
      <c r="E6" s="218"/>
      <c r="F6" s="223" t="s">
        <v>1050</v>
      </c>
      <c r="G6" s="223" t="s">
        <v>1051</v>
      </c>
      <c r="H6" s="223" t="s">
        <v>1050</v>
      </c>
      <c r="I6" s="223" t="s">
        <v>1052</v>
      </c>
      <c r="J6" s="223" t="s">
        <v>1050</v>
      </c>
      <c r="K6" s="223"/>
      <c r="L6" s="223" t="s">
        <v>1053</v>
      </c>
      <c r="M6" s="218" t="s">
        <v>1054</v>
      </c>
      <c r="N6" s="218" t="s">
        <v>1055</v>
      </c>
      <c r="O6" s="223" t="s">
        <v>1050</v>
      </c>
      <c r="P6" s="223" t="s">
        <v>1056</v>
      </c>
      <c r="Q6" s="218" t="s">
        <v>1057</v>
      </c>
      <c r="R6" s="218"/>
      <c r="S6" s="218"/>
      <c r="T6" s="224" t="s">
        <v>1058</v>
      </c>
      <c r="U6" s="224" t="s">
        <v>1059</v>
      </c>
      <c r="V6" s="225" t="s">
        <v>1060</v>
      </c>
    </row>
    <row r="7" spans="2:23" ht="20.100000000000001" customHeight="1">
      <c r="B7" s="217">
        <v>120</v>
      </c>
      <c r="C7" s="218" t="s">
        <v>1042</v>
      </c>
      <c r="D7" s="218">
        <v>3.8</v>
      </c>
      <c r="E7" s="218" t="s">
        <v>1042</v>
      </c>
      <c r="F7" s="218">
        <f>锅炉计算!G43</f>
        <v>86.754999999999995</v>
      </c>
      <c r="G7" s="218">
        <f>锅炉计算!G41</f>
        <v>24.9</v>
      </c>
      <c r="H7" s="226">
        <f>锅炉计算!G48</f>
        <v>1.2895732310383834</v>
      </c>
      <c r="I7" s="226">
        <f>H7*F7*273/(273+G7)/101.325</f>
        <v>1.0118498112442047</v>
      </c>
      <c r="J7" s="226">
        <f>锅炉计算!G158</f>
        <v>1.2875017675596019</v>
      </c>
      <c r="K7" s="227">
        <f>G39</f>
        <v>139.1040336475119</v>
      </c>
      <c r="L7" s="226">
        <f>J7*F7*273/(273+K7)/101.325</f>
        <v>0.73026673352537685</v>
      </c>
      <c r="M7" s="226">
        <f>I7-L7</f>
        <v>0.28158307771882785</v>
      </c>
      <c r="N7" s="218" t="s">
        <v>1061</v>
      </c>
      <c r="O7" s="228">
        <f>3*锅炉计算!G156</f>
        <v>241.96241141339897</v>
      </c>
      <c r="P7" s="228">
        <f>O7/(0.785*D7^2)</f>
        <v>21.345732079450126</v>
      </c>
      <c r="Q7" s="228">
        <f>P7^2*L7/2</f>
        <v>166.36946874162649</v>
      </c>
      <c r="R7" s="218" t="s">
        <v>664</v>
      </c>
      <c r="S7" s="218" t="s">
        <v>1061</v>
      </c>
      <c r="T7" s="218" t="s">
        <v>1061</v>
      </c>
      <c r="U7" s="218" t="s">
        <v>1061</v>
      </c>
      <c r="V7" s="219" t="s">
        <v>1061</v>
      </c>
    </row>
    <row r="8" spans="2:23" ht="20.100000000000001" customHeight="1">
      <c r="B8" s="217">
        <f>B7-5</f>
        <v>115</v>
      </c>
      <c r="C8" s="218">
        <v>5</v>
      </c>
      <c r="D8" s="218">
        <f>D7+E8*(B7-B8)*2</f>
        <v>3.8</v>
      </c>
      <c r="E8" s="229">
        <v>0</v>
      </c>
      <c r="F8" s="218">
        <f>$F$7</f>
        <v>86.754999999999995</v>
      </c>
      <c r="G8" s="218">
        <f>$G$7</f>
        <v>24.9</v>
      </c>
      <c r="H8" s="226">
        <f>$H$7</f>
        <v>1.2895732310383834</v>
      </c>
      <c r="I8" s="226">
        <f t="shared" ref="I8:I31" si="0">H8*F8*273/(273+G8)/101.325</f>
        <v>1.0118498112442047</v>
      </c>
      <c r="J8" s="226">
        <f>$J$7</f>
        <v>1.2875017675596019</v>
      </c>
      <c r="K8" s="227">
        <f>$K$7</f>
        <v>139.1040336475119</v>
      </c>
      <c r="L8" s="226">
        <f t="shared" ref="L8:L31" si="1">J8*F8*273/(273+K8)/101.325</f>
        <v>0.73026673352537685</v>
      </c>
      <c r="M8" s="226">
        <f t="shared" ref="M8:M31" si="2">I8-L8</f>
        <v>0.28158307771882785</v>
      </c>
      <c r="N8" s="228">
        <f>9.81*M8*C8</f>
        <v>13.811649962108508</v>
      </c>
      <c r="O8" s="228">
        <f>$O$7</f>
        <v>241.96241141339897</v>
      </c>
      <c r="P8" s="228">
        <f t="shared" ref="P8:P31" si="3">O8/(0.785*D8^2)</f>
        <v>21.345732079450126</v>
      </c>
      <c r="Q8" s="228">
        <f t="shared" ref="Q8:Q31" si="4">P8^2*L8/2</f>
        <v>166.36946874162649</v>
      </c>
      <c r="R8" s="228">
        <f>$Q$7-Q8</f>
        <v>0</v>
      </c>
      <c r="S8" s="218">
        <v>0.05</v>
      </c>
      <c r="T8" s="230">
        <f>S8*C8/D8</f>
        <v>6.5789473684210523E-2</v>
      </c>
      <c r="U8" s="228">
        <f>T8*Q8</f>
        <v>10.945359785633322</v>
      </c>
      <c r="V8" s="231">
        <f>R8+U8-N8</f>
        <v>-2.8662901764751858</v>
      </c>
    </row>
    <row r="9" spans="2:23" ht="20.100000000000001" customHeight="1">
      <c r="B9" s="217">
        <f t="shared" ref="B9:B31" si="5">B8-5</f>
        <v>110</v>
      </c>
      <c r="C9" s="218">
        <f>C8+5</f>
        <v>10</v>
      </c>
      <c r="D9" s="218">
        <f t="shared" ref="D9:D14" si="6">D8+E9*(B8-B9)*2</f>
        <v>3.8</v>
      </c>
      <c r="E9" s="229">
        <f t="shared" ref="E9:E14" si="7">$E$8</f>
        <v>0</v>
      </c>
      <c r="F9" s="218">
        <f t="shared" ref="F9:F31" si="8">$F$7</f>
        <v>86.754999999999995</v>
      </c>
      <c r="G9" s="218">
        <f t="shared" ref="G9:G31" si="9">$G$7</f>
        <v>24.9</v>
      </c>
      <c r="H9" s="226">
        <f t="shared" ref="H9:H31" si="10">$H$7</f>
        <v>1.2895732310383834</v>
      </c>
      <c r="I9" s="226">
        <f t="shared" si="0"/>
        <v>1.0118498112442047</v>
      </c>
      <c r="J9" s="226">
        <f t="shared" ref="J9:J31" si="11">$J$7</f>
        <v>1.2875017675596019</v>
      </c>
      <c r="K9" s="227">
        <f t="shared" ref="K9:K31" si="12">$K$7</f>
        <v>139.1040336475119</v>
      </c>
      <c r="L9" s="226">
        <f t="shared" si="1"/>
        <v>0.73026673352537685</v>
      </c>
      <c r="M9" s="226">
        <f t="shared" si="2"/>
        <v>0.28158307771882785</v>
      </c>
      <c r="N9" s="228">
        <f t="shared" ref="N9:N31" si="13">9.81*M9*C9</f>
        <v>27.623299924217015</v>
      </c>
      <c r="O9" s="228">
        <f t="shared" ref="O9:O31" si="14">$O$7</f>
        <v>241.96241141339897</v>
      </c>
      <c r="P9" s="228">
        <f t="shared" si="3"/>
        <v>21.345732079450126</v>
      </c>
      <c r="Q9" s="228">
        <f t="shared" si="4"/>
        <v>166.36946874162649</v>
      </c>
      <c r="R9" s="228">
        <f>$Q$7-Q9</f>
        <v>0</v>
      </c>
      <c r="S9" s="218">
        <f>$S$8</f>
        <v>0.05</v>
      </c>
      <c r="T9" s="230">
        <f t="shared" ref="T9:T15" si="15">S9*C9/D9</f>
        <v>0.13157894736842105</v>
      </c>
      <c r="U9" s="228">
        <f t="shared" ref="U9:U15" si="16">T9*Q9</f>
        <v>21.890719571266644</v>
      </c>
      <c r="V9" s="231">
        <f t="shared" ref="V9:V31" si="17">R9+U9-N9</f>
        <v>-5.7325803529503716</v>
      </c>
    </row>
    <row r="10" spans="2:23" ht="20.100000000000001" customHeight="1">
      <c r="B10" s="217">
        <f t="shared" si="5"/>
        <v>105</v>
      </c>
      <c r="C10" s="218">
        <f t="shared" ref="C10:C31" si="18">C9+5</f>
        <v>15</v>
      </c>
      <c r="D10" s="218">
        <f t="shared" si="6"/>
        <v>3.8</v>
      </c>
      <c r="E10" s="229">
        <f t="shared" si="7"/>
        <v>0</v>
      </c>
      <c r="F10" s="218">
        <f t="shared" si="8"/>
        <v>86.754999999999995</v>
      </c>
      <c r="G10" s="218">
        <f t="shared" si="9"/>
        <v>24.9</v>
      </c>
      <c r="H10" s="226">
        <f t="shared" si="10"/>
        <v>1.2895732310383834</v>
      </c>
      <c r="I10" s="226">
        <f t="shared" si="0"/>
        <v>1.0118498112442047</v>
      </c>
      <c r="J10" s="226">
        <f t="shared" si="11"/>
        <v>1.2875017675596019</v>
      </c>
      <c r="K10" s="227">
        <f t="shared" si="12"/>
        <v>139.1040336475119</v>
      </c>
      <c r="L10" s="226">
        <f t="shared" si="1"/>
        <v>0.73026673352537685</v>
      </c>
      <c r="M10" s="226">
        <f t="shared" si="2"/>
        <v>0.28158307771882785</v>
      </c>
      <c r="N10" s="228">
        <f t="shared" si="13"/>
        <v>41.434949886325526</v>
      </c>
      <c r="O10" s="228">
        <f t="shared" si="14"/>
        <v>241.96241141339897</v>
      </c>
      <c r="P10" s="228">
        <f t="shared" si="3"/>
        <v>21.345732079450126</v>
      </c>
      <c r="Q10" s="228">
        <f t="shared" si="4"/>
        <v>166.36946874162649</v>
      </c>
      <c r="R10" s="228">
        <f t="shared" ref="R10:R31" si="19">$Q$7-Q10</f>
        <v>0</v>
      </c>
      <c r="S10" s="218">
        <f t="shared" ref="S10:S31" si="20">$S$8</f>
        <v>0.05</v>
      </c>
      <c r="T10" s="230">
        <f t="shared" si="15"/>
        <v>0.19736842105263158</v>
      </c>
      <c r="U10" s="228">
        <f t="shared" si="16"/>
        <v>32.836079356899965</v>
      </c>
      <c r="V10" s="231">
        <f t="shared" si="17"/>
        <v>-8.598870529425561</v>
      </c>
    </row>
    <row r="11" spans="2:23" ht="20.100000000000001" customHeight="1">
      <c r="B11" s="217">
        <f t="shared" si="5"/>
        <v>100</v>
      </c>
      <c r="C11" s="218">
        <f t="shared" si="18"/>
        <v>20</v>
      </c>
      <c r="D11" s="218">
        <f t="shared" si="6"/>
        <v>3.8</v>
      </c>
      <c r="E11" s="229">
        <f t="shared" si="7"/>
        <v>0</v>
      </c>
      <c r="F11" s="218">
        <f t="shared" si="8"/>
        <v>86.754999999999995</v>
      </c>
      <c r="G11" s="218">
        <f t="shared" si="9"/>
        <v>24.9</v>
      </c>
      <c r="H11" s="226">
        <f t="shared" si="10"/>
        <v>1.2895732310383834</v>
      </c>
      <c r="I11" s="226">
        <f t="shared" si="0"/>
        <v>1.0118498112442047</v>
      </c>
      <c r="J11" s="226">
        <f t="shared" si="11"/>
        <v>1.2875017675596019</v>
      </c>
      <c r="K11" s="227">
        <f t="shared" si="12"/>
        <v>139.1040336475119</v>
      </c>
      <c r="L11" s="226">
        <f t="shared" si="1"/>
        <v>0.73026673352537685</v>
      </c>
      <c r="M11" s="226">
        <f t="shared" si="2"/>
        <v>0.28158307771882785</v>
      </c>
      <c r="N11" s="228">
        <f t="shared" si="13"/>
        <v>55.24659984843403</v>
      </c>
      <c r="O11" s="228">
        <f t="shared" si="14"/>
        <v>241.96241141339897</v>
      </c>
      <c r="P11" s="228">
        <f t="shared" si="3"/>
        <v>21.345732079450126</v>
      </c>
      <c r="Q11" s="228">
        <f t="shared" si="4"/>
        <v>166.36946874162649</v>
      </c>
      <c r="R11" s="228">
        <f t="shared" si="19"/>
        <v>0</v>
      </c>
      <c r="S11" s="218">
        <f t="shared" si="20"/>
        <v>0.05</v>
      </c>
      <c r="T11" s="230">
        <f t="shared" si="15"/>
        <v>0.26315789473684209</v>
      </c>
      <c r="U11" s="228">
        <f t="shared" si="16"/>
        <v>43.781439142533287</v>
      </c>
      <c r="V11" s="231">
        <f t="shared" si="17"/>
        <v>-11.465160705900743</v>
      </c>
    </row>
    <row r="12" spans="2:23" ht="20.100000000000001" customHeight="1">
      <c r="B12" s="217">
        <f t="shared" si="5"/>
        <v>95</v>
      </c>
      <c r="C12" s="218">
        <f t="shared" si="18"/>
        <v>25</v>
      </c>
      <c r="D12" s="246">
        <f t="shared" si="6"/>
        <v>3.8</v>
      </c>
      <c r="E12" s="229">
        <f t="shared" si="7"/>
        <v>0</v>
      </c>
      <c r="F12" s="218">
        <f t="shared" si="8"/>
        <v>86.754999999999995</v>
      </c>
      <c r="G12" s="218">
        <f t="shared" si="9"/>
        <v>24.9</v>
      </c>
      <c r="H12" s="226">
        <f t="shared" si="10"/>
        <v>1.2895732310383834</v>
      </c>
      <c r="I12" s="226">
        <f t="shared" si="0"/>
        <v>1.0118498112442047</v>
      </c>
      <c r="J12" s="226">
        <f t="shared" si="11"/>
        <v>1.2875017675596019</v>
      </c>
      <c r="K12" s="227">
        <f t="shared" si="12"/>
        <v>139.1040336475119</v>
      </c>
      <c r="L12" s="226">
        <f t="shared" si="1"/>
        <v>0.73026673352537685</v>
      </c>
      <c r="M12" s="226">
        <f t="shared" si="2"/>
        <v>0.28158307771882785</v>
      </c>
      <c r="N12" s="228">
        <f t="shared" si="13"/>
        <v>69.058249810542534</v>
      </c>
      <c r="O12" s="228">
        <f t="shared" si="14"/>
        <v>241.96241141339897</v>
      </c>
      <c r="P12" s="228">
        <f t="shared" si="3"/>
        <v>21.345732079450126</v>
      </c>
      <c r="Q12" s="228">
        <f t="shared" si="4"/>
        <v>166.36946874162649</v>
      </c>
      <c r="R12" s="228">
        <f t="shared" si="19"/>
        <v>0</v>
      </c>
      <c r="S12" s="218">
        <f t="shared" si="20"/>
        <v>0.05</v>
      </c>
      <c r="T12" s="230">
        <f t="shared" si="15"/>
        <v>0.32894736842105265</v>
      </c>
      <c r="U12" s="228">
        <f t="shared" si="16"/>
        <v>54.726798928166616</v>
      </c>
      <c r="V12" s="231">
        <f t="shared" si="17"/>
        <v>-14.331450882375918</v>
      </c>
    </row>
    <row r="13" spans="2:23" ht="20.100000000000001" customHeight="1">
      <c r="B13" s="217">
        <f t="shared" si="5"/>
        <v>90</v>
      </c>
      <c r="C13" s="218">
        <f t="shared" si="18"/>
        <v>30</v>
      </c>
      <c r="D13" s="246">
        <f t="shared" si="6"/>
        <v>3.8</v>
      </c>
      <c r="E13" s="229">
        <f t="shared" si="7"/>
        <v>0</v>
      </c>
      <c r="F13" s="218">
        <f t="shared" si="8"/>
        <v>86.754999999999995</v>
      </c>
      <c r="G13" s="218">
        <f t="shared" si="9"/>
        <v>24.9</v>
      </c>
      <c r="H13" s="226">
        <f t="shared" si="10"/>
        <v>1.2895732310383834</v>
      </c>
      <c r="I13" s="226">
        <f t="shared" si="0"/>
        <v>1.0118498112442047</v>
      </c>
      <c r="J13" s="226">
        <f t="shared" si="11"/>
        <v>1.2875017675596019</v>
      </c>
      <c r="K13" s="227">
        <f t="shared" si="12"/>
        <v>139.1040336475119</v>
      </c>
      <c r="L13" s="226">
        <f t="shared" si="1"/>
        <v>0.73026673352537685</v>
      </c>
      <c r="M13" s="226">
        <f t="shared" si="2"/>
        <v>0.28158307771882785</v>
      </c>
      <c r="N13" s="228">
        <f t="shared" si="13"/>
        <v>82.869899772651053</v>
      </c>
      <c r="O13" s="228">
        <f t="shared" si="14"/>
        <v>241.96241141339897</v>
      </c>
      <c r="P13" s="228">
        <f t="shared" si="3"/>
        <v>21.345732079450126</v>
      </c>
      <c r="Q13" s="228">
        <f t="shared" si="4"/>
        <v>166.36946874162649</v>
      </c>
      <c r="R13" s="228">
        <f t="shared" si="19"/>
        <v>0</v>
      </c>
      <c r="S13" s="218">
        <f t="shared" si="20"/>
        <v>0.05</v>
      </c>
      <c r="T13" s="230">
        <f t="shared" si="15"/>
        <v>0.39473684210526316</v>
      </c>
      <c r="U13" s="228">
        <f t="shared" si="16"/>
        <v>65.672158713799931</v>
      </c>
      <c r="V13" s="231">
        <f t="shared" si="17"/>
        <v>-17.197741058851122</v>
      </c>
    </row>
    <row r="14" spans="2:23" ht="20.100000000000001" customHeight="1">
      <c r="B14" s="217">
        <f t="shared" si="5"/>
        <v>85</v>
      </c>
      <c r="C14" s="218">
        <f t="shared" si="18"/>
        <v>35</v>
      </c>
      <c r="D14" s="246">
        <f t="shared" si="6"/>
        <v>3.8</v>
      </c>
      <c r="E14" s="229">
        <f t="shared" si="7"/>
        <v>0</v>
      </c>
      <c r="F14" s="218">
        <f t="shared" si="8"/>
        <v>86.754999999999995</v>
      </c>
      <c r="G14" s="218">
        <f t="shared" si="9"/>
        <v>24.9</v>
      </c>
      <c r="H14" s="226">
        <f t="shared" si="10"/>
        <v>1.2895732310383834</v>
      </c>
      <c r="I14" s="226">
        <f t="shared" si="0"/>
        <v>1.0118498112442047</v>
      </c>
      <c r="J14" s="226">
        <f t="shared" si="11"/>
        <v>1.2875017675596019</v>
      </c>
      <c r="K14" s="227">
        <f t="shared" si="12"/>
        <v>139.1040336475119</v>
      </c>
      <c r="L14" s="226">
        <f t="shared" si="1"/>
        <v>0.73026673352537685</v>
      </c>
      <c r="M14" s="226">
        <f t="shared" si="2"/>
        <v>0.28158307771882785</v>
      </c>
      <c r="N14" s="228">
        <f t="shared" si="13"/>
        <v>96.681549734759557</v>
      </c>
      <c r="O14" s="228">
        <f t="shared" si="14"/>
        <v>241.96241141339897</v>
      </c>
      <c r="P14" s="228">
        <f t="shared" si="3"/>
        <v>21.345732079450126</v>
      </c>
      <c r="Q14" s="228">
        <f t="shared" si="4"/>
        <v>166.36946874162649</v>
      </c>
      <c r="R14" s="228">
        <f t="shared" si="19"/>
        <v>0</v>
      </c>
      <c r="S14" s="218">
        <f t="shared" si="20"/>
        <v>0.05</v>
      </c>
      <c r="T14" s="230">
        <f t="shared" si="15"/>
        <v>0.46052631578947373</v>
      </c>
      <c r="U14" s="228">
        <f t="shared" si="16"/>
        <v>76.61751849943326</v>
      </c>
      <c r="V14" s="231">
        <f t="shared" si="17"/>
        <v>-20.064031235326297</v>
      </c>
    </row>
    <row r="15" spans="2:23" ht="20.100000000000001" customHeight="1">
      <c r="B15" s="217">
        <f t="shared" si="5"/>
        <v>80</v>
      </c>
      <c r="C15" s="218">
        <f t="shared" si="18"/>
        <v>40</v>
      </c>
      <c r="D15" s="246">
        <f>D14+E15*(B14-B15)*2</f>
        <v>3.8</v>
      </c>
      <c r="E15" s="229">
        <v>0</v>
      </c>
      <c r="F15" s="218">
        <f t="shared" si="8"/>
        <v>86.754999999999995</v>
      </c>
      <c r="G15" s="218">
        <f t="shared" si="9"/>
        <v>24.9</v>
      </c>
      <c r="H15" s="226">
        <f t="shared" si="10"/>
        <v>1.2895732310383834</v>
      </c>
      <c r="I15" s="226">
        <f t="shared" si="0"/>
        <v>1.0118498112442047</v>
      </c>
      <c r="J15" s="226">
        <f t="shared" si="11"/>
        <v>1.2875017675596019</v>
      </c>
      <c r="K15" s="227">
        <f t="shared" si="12"/>
        <v>139.1040336475119</v>
      </c>
      <c r="L15" s="226">
        <f t="shared" si="1"/>
        <v>0.73026673352537685</v>
      </c>
      <c r="M15" s="226">
        <f t="shared" si="2"/>
        <v>0.28158307771882785</v>
      </c>
      <c r="N15" s="228">
        <f t="shared" si="13"/>
        <v>110.49319969686806</v>
      </c>
      <c r="O15" s="228">
        <f t="shared" si="14"/>
        <v>241.96241141339897</v>
      </c>
      <c r="P15" s="228">
        <f t="shared" si="3"/>
        <v>21.345732079450126</v>
      </c>
      <c r="Q15" s="228">
        <f t="shared" si="4"/>
        <v>166.36946874162649</v>
      </c>
      <c r="R15" s="228">
        <f t="shared" si="19"/>
        <v>0</v>
      </c>
      <c r="S15" s="218">
        <f t="shared" si="20"/>
        <v>0.05</v>
      </c>
      <c r="T15" s="230">
        <f t="shared" si="15"/>
        <v>0.52631578947368418</v>
      </c>
      <c r="U15" s="228">
        <f t="shared" si="16"/>
        <v>87.562878285066574</v>
      </c>
      <c r="V15" s="231">
        <f t="shared" si="17"/>
        <v>-22.930321411801486</v>
      </c>
    </row>
    <row r="16" spans="2:23" ht="20.100000000000001" customHeight="1">
      <c r="B16" s="217">
        <f t="shared" si="5"/>
        <v>75</v>
      </c>
      <c r="C16" s="218">
        <f t="shared" si="18"/>
        <v>45</v>
      </c>
      <c r="D16" s="246">
        <f t="shared" ref="D16:D31" si="21">D15+E16*(B15-B16)*2</f>
        <v>4</v>
      </c>
      <c r="E16" s="229">
        <v>0.02</v>
      </c>
      <c r="F16" s="218">
        <f t="shared" si="8"/>
        <v>86.754999999999995</v>
      </c>
      <c r="G16" s="218">
        <f t="shared" si="9"/>
        <v>24.9</v>
      </c>
      <c r="H16" s="226">
        <f t="shared" si="10"/>
        <v>1.2895732310383834</v>
      </c>
      <c r="I16" s="226">
        <f t="shared" si="0"/>
        <v>1.0118498112442047</v>
      </c>
      <c r="J16" s="226">
        <f t="shared" si="11"/>
        <v>1.2875017675596019</v>
      </c>
      <c r="K16" s="227">
        <f t="shared" si="12"/>
        <v>139.1040336475119</v>
      </c>
      <c r="L16" s="226">
        <f t="shared" si="1"/>
        <v>0.73026673352537685</v>
      </c>
      <c r="M16" s="226">
        <f t="shared" si="2"/>
        <v>0.28158307771882785</v>
      </c>
      <c r="N16" s="228">
        <f t="shared" si="13"/>
        <v>124.30484965897656</v>
      </c>
      <c r="O16" s="228">
        <f t="shared" si="14"/>
        <v>241.96241141339897</v>
      </c>
      <c r="P16" s="228">
        <f t="shared" si="3"/>
        <v>19.264523201703739</v>
      </c>
      <c r="Q16" s="228">
        <f t="shared" si="4"/>
        <v>135.50897209923443</v>
      </c>
      <c r="R16" s="228">
        <f t="shared" si="19"/>
        <v>30.860496642392064</v>
      </c>
      <c r="S16" s="218">
        <f t="shared" si="20"/>
        <v>0.05</v>
      </c>
      <c r="T16" s="230">
        <f t="shared" ref="T16:T31" si="22">S16/8/E16</f>
        <v>0.3125</v>
      </c>
      <c r="U16" s="228">
        <f>T16*R16</f>
        <v>9.6439052007475201</v>
      </c>
      <c r="V16" s="231">
        <f t="shared" si="17"/>
        <v>-83.800447815836975</v>
      </c>
    </row>
    <row r="17" spans="2:22" ht="20.100000000000001" customHeight="1">
      <c r="B17" s="217">
        <f t="shared" si="5"/>
        <v>70</v>
      </c>
      <c r="C17" s="218">
        <f t="shared" si="18"/>
        <v>50</v>
      </c>
      <c r="D17" s="246">
        <f t="shared" si="21"/>
        <v>4.2</v>
      </c>
      <c r="E17" s="229">
        <f t="shared" ref="E17:E31" si="23">E16</f>
        <v>0.02</v>
      </c>
      <c r="F17" s="218">
        <f t="shared" si="8"/>
        <v>86.754999999999995</v>
      </c>
      <c r="G17" s="218">
        <f t="shared" si="9"/>
        <v>24.9</v>
      </c>
      <c r="H17" s="226">
        <f t="shared" si="10"/>
        <v>1.2895732310383834</v>
      </c>
      <c r="I17" s="226">
        <f t="shared" si="0"/>
        <v>1.0118498112442047</v>
      </c>
      <c r="J17" s="226">
        <f t="shared" si="11"/>
        <v>1.2875017675596019</v>
      </c>
      <c r="K17" s="227">
        <f t="shared" si="12"/>
        <v>139.1040336475119</v>
      </c>
      <c r="L17" s="226">
        <f t="shared" si="1"/>
        <v>0.73026673352537685</v>
      </c>
      <c r="M17" s="226">
        <f t="shared" si="2"/>
        <v>0.28158307771882785</v>
      </c>
      <c r="N17" s="228">
        <f t="shared" si="13"/>
        <v>138.11649962108507</v>
      </c>
      <c r="O17" s="228">
        <f t="shared" si="14"/>
        <v>241.96241141339897</v>
      </c>
      <c r="P17" s="228">
        <f t="shared" si="3"/>
        <v>17.473490432384345</v>
      </c>
      <c r="Q17" s="228">
        <f t="shared" si="4"/>
        <v>111.48356670254427</v>
      </c>
      <c r="R17" s="228">
        <f t="shared" si="19"/>
        <v>54.885902039082225</v>
      </c>
      <c r="S17" s="218">
        <f t="shared" si="20"/>
        <v>0.05</v>
      </c>
      <c r="T17" s="230">
        <f t="shared" si="22"/>
        <v>0.3125</v>
      </c>
      <c r="U17" s="228">
        <f t="shared" ref="U17:U23" si="24">T17*R17</f>
        <v>17.151844387213195</v>
      </c>
      <c r="V17" s="231">
        <f t="shared" si="17"/>
        <v>-66.078753194789641</v>
      </c>
    </row>
    <row r="18" spans="2:22" ht="20.100000000000001" customHeight="1">
      <c r="B18" s="217">
        <f t="shared" si="5"/>
        <v>65</v>
      </c>
      <c r="C18" s="218">
        <f t="shared" si="18"/>
        <v>55</v>
      </c>
      <c r="D18" s="246">
        <f t="shared" si="21"/>
        <v>4.4000000000000004</v>
      </c>
      <c r="E18" s="229">
        <f t="shared" si="23"/>
        <v>0.02</v>
      </c>
      <c r="F18" s="218">
        <f t="shared" si="8"/>
        <v>86.754999999999995</v>
      </c>
      <c r="G18" s="218">
        <f t="shared" si="9"/>
        <v>24.9</v>
      </c>
      <c r="H18" s="226">
        <f t="shared" si="10"/>
        <v>1.2895732310383834</v>
      </c>
      <c r="I18" s="226">
        <f t="shared" si="0"/>
        <v>1.0118498112442047</v>
      </c>
      <c r="J18" s="226">
        <f t="shared" si="11"/>
        <v>1.2875017675596019</v>
      </c>
      <c r="K18" s="227">
        <f t="shared" si="12"/>
        <v>139.1040336475119</v>
      </c>
      <c r="L18" s="226">
        <f t="shared" si="1"/>
        <v>0.73026673352537685</v>
      </c>
      <c r="M18" s="226">
        <f t="shared" si="2"/>
        <v>0.28158307771882785</v>
      </c>
      <c r="N18" s="228">
        <f t="shared" si="13"/>
        <v>151.92814958319357</v>
      </c>
      <c r="O18" s="228">
        <f t="shared" si="14"/>
        <v>241.96241141339897</v>
      </c>
      <c r="P18" s="228">
        <f t="shared" si="3"/>
        <v>15.921093555127054</v>
      </c>
      <c r="Q18" s="228">
        <f t="shared" si="4"/>
        <v>92.554451266467026</v>
      </c>
      <c r="R18" s="228">
        <f t="shared" si="19"/>
        <v>73.815017475159465</v>
      </c>
      <c r="S18" s="218">
        <f t="shared" si="20"/>
        <v>0.05</v>
      </c>
      <c r="T18" s="230">
        <f t="shared" si="22"/>
        <v>0.3125</v>
      </c>
      <c r="U18" s="228">
        <f t="shared" si="24"/>
        <v>23.067192960987335</v>
      </c>
      <c r="V18" s="231">
        <f t="shared" si="17"/>
        <v>-55.045939147046766</v>
      </c>
    </row>
    <row r="19" spans="2:22" ht="20.100000000000001" customHeight="1">
      <c r="B19" s="217">
        <f t="shared" si="5"/>
        <v>60</v>
      </c>
      <c r="C19" s="246">
        <f t="shared" si="18"/>
        <v>60</v>
      </c>
      <c r="D19" s="246">
        <f>D18+E19*(B18-B19)*2</f>
        <v>4.6000000000000005</v>
      </c>
      <c r="E19" s="491">
        <f t="shared" si="23"/>
        <v>0.02</v>
      </c>
      <c r="F19" s="246">
        <f t="shared" si="8"/>
        <v>86.754999999999995</v>
      </c>
      <c r="G19" s="246">
        <f t="shared" si="9"/>
        <v>24.9</v>
      </c>
      <c r="H19" s="226">
        <f t="shared" si="10"/>
        <v>1.2895732310383834</v>
      </c>
      <c r="I19" s="226">
        <f t="shared" si="0"/>
        <v>1.0118498112442047</v>
      </c>
      <c r="J19" s="226">
        <f t="shared" si="11"/>
        <v>1.2875017675596019</v>
      </c>
      <c r="K19" s="227">
        <f t="shared" si="12"/>
        <v>139.1040336475119</v>
      </c>
      <c r="L19" s="226">
        <f t="shared" si="1"/>
        <v>0.73026673352537685</v>
      </c>
      <c r="M19" s="226">
        <f t="shared" si="2"/>
        <v>0.28158307771882785</v>
      </c>
      <c r="N19" s="228">
        <f t="shared" si="13"/>
        <v>165.73979954530211</v>
      </c>
      <c r="O19" s="228">
        <f t="shared" si="14"/>
        <v>241.96241141339897</v>
      </c>
      <c r="P19" s="228">
        <f t="shared" si="3"/>
        <v>14.56674722246029</v>
      </c>
      <c r="Q19" s="228">
        <f t="shared" si="4"/>
        <v>77.477694604713008</v>
      </c>
      <c r="R19" s="228">
        <f t="shared" si="19"/>
        <v>88.891774136913483</v>
      </c>
      <c r="S19" s="246">
        <f t="shared" si="20"/>
        <v>0.05</v>
      </c>
      <c r="T19" s="230">
        <f t="shared" si="22"/>
        <v>0.3125</v>
      </c>
      <c r="U19" s="228">
        <f t="shared" si="24"/>
        <v>27.778679417785462</v>
      </c>
      <c r="V19" s="231">
        <f t="shared" si="17"/>
        <v>-49.069345990603153</v>
      </c>
    </row>
    <row r="20" spans="2:22" ht="20.100000000000001" customHeight="1">
      <c r="B20" s="217">
        <f t="shared" si="5"/>
        <v>55</v>
      </c>
      <c r="C20" s="218">
        <f t="shared" si="18"/>
        <v>65</v>
      </c>
      <c r="D20" s="246">
        <f t="shared" si="21"/>
        <v>4.8000000000000007</v>
      </c>
      <c r="E20" s="229">
        <f t="shared" si="23"/>
        <v>0.02</v>
      </c>
      <c r="F20" s="218">
        <f t="shared" si="8"/>
        <v>86.754999999999995</v>
      </c>
      <c r="G20" s="218">
        <f t="shared" si="9"/>
        <v>24.9</v>
      </c>
      <c r="H20" s="226">
        <f t="shared" si="10"/>
        <v>1.2895732310383834</v>
      </c>
      <c r="I20" s="226">
        <f t="shared" si="0"/>
        <v>1.0118498112442047</v>
      </c>
      <c r="J20" s="226">
        <f t="shared" si="11"/>
        <v>1.2875017675596019</v>
      </c>
      <c r="K20" s="227">
        <f t="shared" si="12"/>
        <v>139.1040336475119</v>
      </c>
      <c r="L20" s="226">
        <f t="shared" si="1"/>
        <v>0.73026673352537685</v>
      </c>
      <c r="M20" s="226">
        <f t="shared" si="2"/>
        <v>0.28158307771882785</v>
      </c>
      <c r="N20" s="228">
        <f t="shared" si="13"/>
        <v>179.55144950741061</v>
      </c>
      <c r="O20" s="228">
        <f t="shared" si="14"/>
        <v>241.96241141339897</v>
      </c>
      <c r="P20" s="228">
        <f t="shared" si="3"/>
        <v>13.37814111229426</v>
      </c>
      <c r="Q20" s="228">
        <f t="shared" si="4"/>
        <v>65.349620032423985</v>
      </c>
      <c r="R20" s="228">
        <f t="shared" si="19"/>
        <v>101.01984870920251</v>
      </c>
      <c r="S20" s="218">
        <f t="shared" si="20"/>
        <v>0.05</v>
      </c>
      <c r="T20" s="230">
        <f t="shared" si="22"/>
        <v>0.3125</v>
      </c>
      <c r="U20" s="228">
        <f t="shared" si="24"/>
        <v>31.568702721625783</v>
      </c>
      <c r="V20" s="231">
        <f t="shared" si="17"/>
        <v>-46.96289807658232</v>
      </c>
    </row>
    <row r="21" spans="2:22" ht="20.100000000000001" customHeight="1">
      <c r="B21" s="217">
        <f t="shared" si="5"/>
        <v>50</v>
      </c>
      <c r="C21" s="218">
        <f t="shared" si="18"/>
        <v>70</v>
      </c>
      <c r="D21" s="246">
        <f t="shared" si="21"/>
        <v>5.0000000000000009</v>
      </c>
      <c r="E21" s="229">
        <f t="shared" si="23"/>
        <v>0.02</v>
      </c>
      <c r="F21" s="218">
        <f t="shared" si="8"/>
        <v>86.754999999999995</v>
      </c>
      <c r="G21" s="218">
        <f t="shared" si="9"/>
        <v>24.9</v>
      </c>
      <c r="H21" s="226">
        <f t="shared" si="10"/>
        <v>1.2895732310383834</v>
      </c>
      <c r="I21" s="226">
        <f t="shared" si="0"/>
        <v>1.0118498112442047</v>
      </c>
      <c r="J21" s="226">
        <f t="shared" si="11"/>
        <v>1.2875017675596019</v>
      </c>
      <c r="K21" s="227">
        <f t="shared" si="12"/>
        <v>139.1040336475119</v>
      </c>
      <c r="L21" s="226">
        <f t="shared" si="1"/>
        <v>0.73026673352537685</v>
      </c>
      <c r="M21" s="226">
        <f t="shared" si="2"/>
        <v>0.28158307771882785</v>
      </c>
      <c r="N21" s="228">
        <f t="shared" si="13"/>
        <v>193.36309946951911</v>
      </c>
      <c r="O21" s="228">
        <f t="shared" si="14"/>
        <v>241.96241141339897</v>
      </c>
      <c r="P21" s="228">
        <f t="shared" si="3"/>
        <v>12.329294849090388</v>
      </c>
      <c r="Q21" s="228">
        <f t="shared" si="4"/>
        <v>55.504474971846378</v>
      </c>
      <c r="R21" s="228">
        <f t="shared" si="19"/>
        <v>110.86499376978011</v>
      </c>
      <c r="S21" s="218">
        <f t="shared" si="20"/>
        <v>0.05</v>
      </c>
      <c r="T21" s="230">
        <f t="shared" si="22"/>
        <v>0.3125</v>
      </c>
      <c r="U21" s="228">
        <f t="shared" si="24"/>
        <v>34.645310553056284</v>
      </c>
      <c r="V21" s="231">
        <f t="shared" si="17"/>
        <v>-47.852795146682723</v>
      </c>
    </row>
    <row r="22" spans="2:22" ht="20.100000000000001" customHeight="1">
      <c r="B22" s="217">
        <f t="shared" si="5"/>
        <v>45</v>
      </c>
      <c r="C22" s="218">
        <f t="shared" si="18"/>
        <v>75</v>
      </c>
      <c r="D22" s="246">
        <f t="shared" si="21"/>
        <v>5.2000000000000011</v>
      </c>
      <c r="E22" s="229">
        <f t="shared" si="23"/>
        <v>0.02</v>
      </c>
      <c r="F22" s="218">
        <f t="shared" si="8"/>
        <v>86.754999999999995</v>
      </c>
      <c r="G22" s="218">
        <f t="shared" si="9"/>
        <v>24.9</v>
      </c>
      <c r="H22" s="226">
        <f t="shared" si="10"/>
        <v>1.2895732310383834</v>
      </c>
      <c r="I22" s="226">
        <f t="shared" si="0"/>
        <v>1.0118498112442047</v>
      </c>
      <c r="J22" s="226">
        <f t="shared" si="11"/>
        <v>1.2875017675596019</v>
      </c>
      <c r="K22" s="227">
        <f t="shared" si="12"/>
        <v>139.1040336475119</v>
      </c>
      <c r="L22" s="226">
        <f t="shared" si="1"/>
        <v>0.73026673352537685</v>
      </c>
      <c r="M22" s="226">
        <f t="shared" si="2"/>
        <v>0.28158307771882785</v>
      </c>
      <c r="N22" s="228">
        <f t="shared" si="13"/>
        <v>207.17474943162762</v>
      </c>
      <c r="O22" s="228">
        <f t="shared" si="14"/>
        <v>241.96241141339897</v>
      </c>
      <c r="P22" s="228">
        <f t="shared" si="3"/>
        <v>11.399126154854279</v>
      </c>
      <c r="Q22" s="228">
        <f t="shared" si="4"/>
        <v>47.445457826838812</v>
      </c>
      <c r="R22" s="228">
        <f t="shared" si="19"/>
        <v>118.92401091478769</v>
      </c>
      <c r="S22" s="218">
        <f t="shared" si="20"/>
        <v>0.05</v>
      </c>
      <c r="T22" s="230">
        <f t="shared" si="22"/>
        <v>0.3125</v>
      </c>
      <c r="U22" s="228">
        <f t="shared" si="24"/>
        <v>37.163753410871152</v>
      </c>
      <c r="V22" s="231">
        <f t="shared" si="17"/>
        <v>-51.086985105968779</v>
      </c>
    </row>
    <row r="23" spans="2:22" ht="20.100000000000001" customHeight="1">
      <c r="B23" s="217">
        <f t="shared" si="5"/>
        <v>40</v>
      </c>
      <c r="C23" s="218">
        <f t="shared" si="18"/>
        <v>80</v>
      </c>
      <c r="D23" s="246">
        <f t="shared" si="21"/>
        <v>5.4000000000000012</v>
      </c>
      <c r="E23" s="229">
        <f t="shared" si="23"/>
        <v>0.02</v>
      </c>
      <c r="F23" s="218">
        <f t="shared" si="8"/>
        <v>86.754999999999995</v>
      </c>
      <c r="G23" s="218">
        <f t="shared" si="9"/>
        <v>24.9</v>
      </c>
      <c r="H23" s="226">
        <f t="shared" si="10"/>
        <v>1.2895732310383834</v>
      </c>
      <c r="I23" s="226">
        <f t="shared" si="0"/>
        <v>1.0118498112442047</v>
      </c>
      <c r="J23" s="226">
        <f t="shared" si="11"/>
        <v>1.2875017675596019</v>
      </c>
      <c r="K23" s="227">
        <f t="shared" si="12"/>
        <v>139.1040336475119</v>
      </c>
      <c r="L23" s="226">
        <f t="shared" si="1"/>
        <v>0.73026673352537685</v>
      </c>
      <c r="M23" s="226">
        <f t="shared" si="2"/>
        <v>0.28158307771882785</v>
      </c>
      <c r="N23" s="228">
        <f t="shared" si="13"/>
        <v>220.98639939373612</v>
      </c>
      <c r="O23" s="228">
        <f t="shared" si="14"/>
        <v>241.96241141339897</v>
      </c>
      <c r="P23" s="228">
        <f t="shared" si="3"/>
        <v>10.570383101072004</v>
      </c>
      <c r="Q23" s="228">
        <f t="shared" si="4"/>
        <v>40.797446068100655</v>
      </c>
      <c r="R23" s="228">
        <f t="shared" si="19"/>
        <v>125.57202267352584</v>
      </c>
      <c r="S23" s="218">
        <f t="shared" si="20"/>
        <v>0.05</v>
      </c>
      <c r="T23" s="230">
        <f t="shared" si="22"/>
        <v>0.3125</v>
      </c>
      <c r="U23" s="228">
        <f t="shared" si="24"/>
        <v>39.241257085476825</v>
      </c>
      <c r="V23" s="231">
        <f t="shared" si="17"/>
        <v>-56.173119634733467</v>
      </c>
    </row>
    <row r="24" spans="2:22" ht="20.100000000000001" customHeight="1">
      <c r="B24" s="217">
        <f t="shared" si="5"/>
        <v>35</v>
      </c>
      <c r="C24" s="218">
        <f t="shared" si="18"/>
        <v>85</v>
      </c>
      <c r="D24" s="246">
        <f t="shared" si="21"/>
        <v>5.6000000000000014</v>
      </c>
      <c r="E24" s="229">
        <v>0.02</v>
      </c>
      <c r="F24" s="218">
        <f t="shared" si="8"/>
        <v>86.754999999999995</v>
      </c>
      <c r="G24" s="218">
        <f t="shared" si="9"/>
        <v>24.9</v>
      </c>
      <c r="H24" s="226">
        <f t="shared" si="10"/>
        <v>1.2895732310383834</v>
      </c>
      <c r="I24" s="226">
        <f t="shared" si="0"/>
        <v>1.0118498112442047</v>
      </c>
      <c r="J24" s="226">
        <f t="shared" si="11"/>
        <v>1.2875017675596019</v>
      </c>
      <c r="K24" s="227">
        <f t="shared" si="12"/>
        <v>139.1040336475119</v>
      </c>
      <c r="L24" s="226">
        <f t="shared" si="1"/>
        <v>0.73026673352537685</v>
      </c>
      <c r="M24" s="226">
        <f t="shared" si="2"/>
        <v>0.28158307771882785</v>
      </c>
      <c r="N24" s="228">
        <f t="shared" si="13"/>
        <v>234.79804935584463</v>
      </c>
      <c r="O24" s="228">
        <f t="shared" si="14"/>
        <v>241.96241141339897</v>
      </c>
      <c r="P24" s="228">
        <f t="shared" si="3"/>
        <v>9.8288383682161875</v>
      </c>
      <c r="Q24" s="228">
        <f t="shared" si="4"/>
        <v>35.274097276976846</v>
      </c>
      <c r="R24" s="228">
        <f t="shared" si="19"/>
        <v>131.09537146464965</v>
      </c>
      <c r="S24" s="218">
        <f t="shared" si="20"/>
        <v>0.05</v>
      </c>
      <c r="T24" s="230">
        <f t="shared" si="22"/>
        <v>0.3125</v>
      </c>
      <c r="U24" s="228">
        <f>T24*R24</f>
        <v>40.967303582703011</v>
      </c>
      <c r="V24" s="231">
        <f t="shared" si="17"/>
        <v>-62.73537430849197</v>
      </c>
    </row>
    <row r="25" spans="2:22" ht="20.100000000000001" customHeight="1">
      <c r="B25" s="217">
        <f t="shared" si="5"/>
        <v>30</v>
      </c>
      <c r="C25" s="218">
        <f t="shared" si="18"/>
        <v>90</v>
      </c>
      <c r="D25" s="246">
        <f t="shared" si="21"/>
        <v>5.8000000000000016</v>
      </c>
      <c r="E25" s="229">
        <f t="shared" si="23"/>
        <v>0.02</v>
      </c>
      <c r="F25" s="218">
        <f t="shared" si="8"/>
        <v>86.754999999999995</v>
      </c>
      <c r="G25" s="218">
        <f t="shared" si="9"/>
        <v>24.9</v>
      </c>
      <c r="H25" s="226">
        <f t="shared" si="10"/>
        <v>1.2895732310383834</v>
      </c>
      <c r="I25" s="226">
        <f t="shared" si="0"/>
        <v>1.0118498112442047</v>
      </c>
      <c r="J25" s="226">
        <f t="shared" si="11"/>
        <v>1.2875017675596019</v>
      </c>
      <c r="K25" s="227">
        <f t="shared" si="12"/>
        <v>139.1040336475119</v>
      </c>
      <c r="L25" s="226">
        <f t="shared" si="1"/>
        <v>0.73026673352537685</v>
      </c>
      <c r="M25" s="226">
        <f t="shared" si="2"/>
        <v>0.28158307771882785</v>
      </c>
      <c r="N25" s="228">
        <f t="shared" si="13"/>
        <v>248.60969931795313</v>
      </c>
      <c r="O25" s="228">
        <f t="shared" si="14"/>
        <v>241.96241141339897</v>
      </c>
      <c r="P25" s="228">
        <f t="shared" si="3"/>
        <v>9.1626745311313798</v>
      </c>
      <c r="Q25" s="228">
        <f t="shared" si="4"/>
        <v>30.654627419480345</v>
      </c>
      <c r="R25" s="228">
        <f t="shared" si="19"/>
        <v>135.71484132214616</v>
      </c>
      <c r="S25" s="218">
        <f t="shared" si="20"/>
        <v>0.05</v>
      </c>
      <c r="T25" s="230">
        <f t="shared" si="22"/>
        <v>0.3125</v>
      </c>
      <c r="U25" s="228">
        <f t="shared" ref="U25:U31" si="25">T25*R25</f>
        <v>42.410887913170676</v>
      </c>
      <c r="V25" s="231">
        <f t="shared" si="17"/>
        <v>-70.48397008263629</v>
      </c>
    </row>
    <row r="26" spans="2:22" ht="20.100000000000001" customHeight="1">
      <c r="B26" s="217">
        <f t="shared" si="5"/>
        <v>25</v>
      </c>
      <c r="C26" s="218">
        <f t="shared" si="18"/>
        <v>95</v>
      </c>
      <c r="D26" s="246">
        <f t="shared" si="21"/>
        <v>6.0000000000000018</v>
      </c>
      <c r="E26" s="229">
        <f t="shared" si="23"/>
        <v>0.02</v>
      </c>
      <c r="F26" s="218">
        <f t="shared" si="8"/>
        <v>86.754999999999995</v>
      </c>
      <c r="G26" s="218">
        <f t="shared" si="9"/>
        <v>24.9</v>
      </c>
      <c r="H26" s="226">
        <f t="shared" si="10"/>
        <v>1.2895732310383834</v>
      </c>
      <c r="I26" s="226">
        <f t="shared" si="0"/>
        <v>1.0118498112442047</v>
      </c>
      <c r="J26" s="226">
        <f t="shared" si="11"/>
        <v>1.2875017675596019</v>
      </c>
      <c r="K26" s="227">
        <f t="shared" si="12"/>
        <v>139.1040336475119</v>
      </c>
      <c r="L26" s="226">
        <f t="shared" si="1"/>
        <v>0.73026673352537685</v>
      </c>
      <c r="M26" s="226">
        <f t="shared" si="2"/>
        <v>0.28158307771882785</v>
      </c>
      <c r="N26" s="228">
        <f t="shared" si="13"/>
        <v>262.42134928006163</v>
      </c>
      <c r="O26" s="228">
        <f t="shared" si="14"/>
        <v>241.96241141339897</v>
      </c>
      <c r="P26" s="228">
        <f t="shared" si="3"/>
        <v>8.5620103118683222</v>
      </c>
      <c r="Q26" s="228">
        <f t="shared" si="4"/>
        <v>26.767204365280833</v>
      </c>
      <c r="R26" s="228">
        <f t="shared" si="19"/>
        <v>139.60226437634566</v>
      </c>
      <c r="S26" s="218">
        <f t="shared" si="20"/>
        <v>0.05</v>
      </c>
      <c r="T26" s="230">
        <f t="shared" si="22"/>
        <v>0.3125</v>
      </c>
      <c r="U26" s="228">
        <f t="shared" si="25"/>
        <v>43.625707617608015</v>
      </c>
      <c r="V26" s="231">
        <f t="shared" si="17"/>
        <v>-79.19337728610796</v>
      </c>
    </row>
    <row r="27" spans="2:22" ht="20.100000000000001" customHeight="1">
      <c r="B27" s="217">
        <f t="shared" si="5"/>
        <v>20</v>
      </c>
      <c r="C27" s="218">
        <f t="shared" si="18"/>
        <v>100</v>
      </c>
      <c r="D27" s="246">
        <f t="shared" si="21"/>
        <v>6.200000000000002</v>
      </c>
      <c r="E27" s="229">
        <f t="shared" si="23"/>
        <v>0.02</v>
      </c>
      <c r="F27" s="218">
        <f t="shared" si="8"/>
        <v>86.754999999999995</v>
      </c>
      <c r="G27" s="218">
        <f t="shared" si="9"/>
        <v>24.9</v>
      </c>
      <c r="H27" s="226">
        <f t="shared" si="10"/>
        <v>1.2895732310383834</v>
      </c>
      <c r="I27" s="226">
        <f t="shared" si="0"/>
        <v>1.0118498112442047</v>
      </c>
      <c r="J27" s="226">
        <f t="shared" si="11"/>
        <v>1.2875017675596019</v>
      </c>
      <c r="K27" s="227">
        <f t="shared" si="12"/>
        <v>139.1040336475119</v>
      </c>
      <c r="L27" s="226">
        <f t="shared" si="1"/>
        <v>0.73026673352537685</v>
      </c>
      <c r="M27" s="226">
        <f t="shared" si="2"/>
        <v>0.28158307771882785</v>
      </c>
      <c r="N27" s="228">
        <f t="shared" si="13"/>
        <v>276.23299924217014</v>
      </c>
      <c r="O27" s="228">
        <f t="shared" si="14"/>
        <v>241.96241141339897</v>
      </c>
      <c r="P27" s="228">
        <f t="shared" si="3"/>
        <v>8.0185320298454634</v>
      </c>
      <c r="Q27" s="228">
        <f t="shared" si="4"/>
        <v>23.476927472009276</v>
      </c>
      <c r="R27" s="228">
        <f t="shared" si="19"/>
        <v>142.89254126961723</v>
      </c>
      <c r="S27" s="218">
        <f t="shared" si="20"/>
        <v>0.05</v>
      </c>
      <c r="T27" s="230">
        <f t="shared" si="22"/>
        <v>0.3125</v>
      </c>
      <c r="U27" s="228">
        <f t="shared" si="25"/>
        <v>44.653919146755385</v>
      </c>
      <c r="V27" s="231">
        <f t="shared" si="17"/>
        <v>-88.686538825797527</v>
      </c>
    </row>
    <row r="28" spans="2:22" ht="20.100000000000001" customHeight="1">
      <c r="B28" s="217">
        <f t="shared" si="5"/>
        <v>15</v>
      </c>
      <c r="C28" s="218">
        <f t="shared" si="18"/>
        <v>105</v>
      </c>
      <c r="D28" s="246">
        <f t="shared" si="21"/>
        <v>6.4000000000000021</v>
      </c>
      <c r="E28" s="229">
        <f t="shared" si="23"/>
        <v>0.02</v>
      </c>
      <c r="F28" s="218">
        <f t="shared" si="8"/>
        <v>86.754999999999995</v>
      </c>
      <c r="G28" s="218">
        <f t="shared" si="9"/>
        <v>24.9</v>
      </c>
      <c r="H28" s="226">
        <f>$H$7</f>
        <v>1.2895732310383834</v>
      </c>
      <c r="I28" s="226">
        <f t="shared" si="0"/>
        <v>1.0118498112442047</v>
      </c>
      <c r="J28" s="226">
        <f t="shared" si="11"/>
        <v>1.2875017675596019</v>
      </c>
      <c r="K28" s="227">
        <f t="shared" si="12"/>
        <v>139.1040336475119</v>
      </c>
      <c r="L28" s="226">
        <f t="shared" si="1"/>
        <v>0.73026673352537685</v>
      </c>
      <c r="M28" s="226">
        <f t="shared" si="2"/>
        <v>0.28158307771882785</v>
      </c>
      <c r="N28" s="228">
        <f t="shared" si="13"/>
        <v>290.04464920427864</v>
      </c>
      <c r="O28" s="228">
        <f t="shared" si="14"/>
        <v>241.96241141339897</v>
      </c>
      <c r="P28" s="228">
        <f t="shared" si="3"/>
        <v>7.5252043756655169</v>
      </c>
      <c r="Q28" s="228">
        <f t="shared" si="4"/>
        <v>20.677028213384126</v>
      </c>
      <c r="R28" s="228">
        <f t="shared" si="19"/>
        <v>145.69244052824237</v>
      </c>
      <c r="S28" s="218">
        <f t="shared" si="20"/>
        <v>0.05</v>
      </c>
      <c r="T28" s="230">
        <f t="shared" si="22"/>
        <v>0.3125</v>
      </c>
      <c r="U28" s="228">
        <f t="shared" si="25"/>
        <v>45.528887665075743</v>
      </c>
      <c r="V28" s="231">
        <f t="shared" si="17"/>
        <v>-98.823321010960512</v>
      </c>
    </row>
    <row r="29" spans="2:22" ht="20.100000000000001" customHeight="1">
      <c r="B29" s="217">
        <f t="shared" si="5"/>
        <v>10</v>
      </c>
      <c r="C29" s="218">
        <f t="shared" si="18"/>
        <v>110</v>
      </c>
      <c r="D29" s="246">
        <f t="shared" si="21"/>
        <v>6.6000000000000023</v>
      </c>
      <c r="E29" s="229">
        <f t="shared" si="23"/>
        <v>0.02</v>
      </c>
      <c r="F29" s="218">
        <f t="shared" si="8"/>
        <v>86.754999999999995</v>
      </c>
      <c r="G29" s="218">
        <f t="shared" si="9"/>
        <v>24.9</v>
      </c>
      <c r="H29" s="226">
        <f t="shared" si="10"/>
        <v>1.2895732310383834</v>
      </c>
      <c r="I29" s="226">
        <f t="shared" si="0"/>
        <v>1.0118498112442047</v>
      </c>
      <c r="J29" s="226">
        <f t="shared" si="11"/>
        <v>1.2875017675596019</v>
      </c>
      <c r="K29" s="227">
        <f t="shared" si="12"/>
        <v>139.1040336475119</v>
      </c>
      <c r="L29" s="226">
        <f t="shared" si="1"/>
        <v>0.73026673352537685</v>
      </c>
      <c r="M29" s="226">
        <f t="shared" si="2"/>
        <v>0.28158307771882785</v>
      </c>
      <c r="N29" s="228">
        <f t="shared" si="13"/>
        <v>303.85629916638715</v>
      </c>
      <c r="O29" s="228">
        <f t="shared" si="14"/>
        <v>241.96241141339897</v>
      </c>
      <c r="P29" s="228">
        <f t="shared" si="3"/>
        <v>7.0760415800564651</v>
      </c>
      <c r="Q29" s="228">
        <f t="shared" si="4"/>
        <v>18.282360743993468</v>
      </c>
      <c r="R29" s="228">
        <f t="shared" si="19"/>
        <v>148.08710799763301</v>
      </c>
      <c r="S29" s="218">
        <f t="shared" si="20"/>
        <v>0.05</v>
      </c>
      <c r="T29" s="230">
        <f t="shared" si="22"/>
        <v>0.3125</v>
      </c>
      <c r="U29" s="228">
        <f t="shared" si="25"/>
        <v>46.277221249260315</v>
      </c>
      <c r="V29" s="231">
        <f t="shared" si="17"/>
        <v>-109.49196991949381</v>
      </c>
    </row>
    <row r="30" spans="2:22" ht="20.100000000000001" customHeight="1">
      <c r="B30" s="217">
        <f t="shared" si="5"/>
        <v>5</v>
      </c>
      <c r="C30" s="218">
        <f t="shared" si="18"/>
        <v>115</v>
      </c>
      <c r="D30" s="246">
        <f t="shared" si="21"/>
        <v>6.8000000000000025</v>
      </c>
      <c r="E30" s="229">
        <f t="shared" si="23"/>
        <v>0.02</v>
      </c>
      <c r="F30" s="218">
        <f t="shared" si="8"/>
        <v>86.754999999999995</v>
      </c>
      <c r="G30" s="218">
        <f t="shared" si="9"/>
        <v>24.9</v>
      </c>
      <c r="H30" s="226">
        <f t="shared" si="10"/>
        <v>1.2895732310383834</v>
      </c>
      <c r="I30" s="226">
        <f t="shared" si="0"/>
        <v>1.0118498112442047</v>
      </c>
      <c r="J30" s="226">
        <f t="shared" si="11"/>
        <v>1.2875017675596019</v>
      </c>
      <c r="K30" s="227">
        <f t="shared" si="12"/>
        <v>139.1040336475119</v>
      </c>
      <c r="L30" s="226">
        <f t="shared" si="1"/>
        <v>0.73026673352537685</v>
      </c>
      <c r="M30" s="226">
        <f t="shared" si="2"/>
        <v>0.28158307771882785</v>
      </c>
      <c r="N30" s="228">
        <f t="shared" si="13"/>
        <v>317.66794912849565</v>
      </c>
      <c r="O30" s="228">
        <f t="shared" si="14"/>
        <v>241.96241141339897</v>
      </c>
      <c r="P30" s="228">
        <f t="shared" si="3"/>
        <v>6.6659249832884875</v>
      </c>
      <c r="Q30" s="228">
        <f t="shared" si="4"/>
        <v>16.224538990102403</v>
      </c>
      <c r="R30" s="228">
        <f t="shared" si="19"/>
        <v>150.1449297515241</v>
      </c>
      <c r="S30" s="218">
        <f t="shared" si="20"/>
        <v>0.05</v>
      </c>
      <c r="T30" s="230">
        <f t="shared" si="22"/>
        <v>0.3125</v>
      </c>
      <c r="U30" s="228">
        <f t="shared" si="25"/>
        <v>46.920290547351286</v>
      </c>
      <c r="V30" s="231">
        <f t="shared" si="17"/>
        <v>-120.60272882962028</v>
      </c>
    </row>
    <row r="31" spans="2:22" ht="20.100000000000001" customHeight="1" thickBot="1">
      <c r="B31" s="232">
        <f t="shared" si="5"/>
        <v>0</v>
      </c>
      <c r="C31" s="233">
        <f t="shared" si="18"/>
        <v>120</v>
      </c>
      <c r="D31" s="246">
        <f t="shared" si="21"/>
        <v>7.0000000000000027</v>
      </c>
      <c r="E31" s="234">
        <f t="shared" si="23"/>
        <v>0.02</v>
      </c>
      <c r="F31" s="233">
        <f t="shared" si="8"/>
        <v>86.754999999999995</v>
      </c>
      <c r="G31" s="233">
        <f t="shared" si="9"/>
        <v>24.9</v>
      </c>
      <c r="H31" s="235">
        <f t="shared" si="10"/>
        <v>1.2895732310383834</v>
      </c>
      <c r="I31" s="235">
        <f t="shared" si="0"/>
        <v>1.0118498112442047</v>
      </c>
      <c r="J31" s="235">
        <f t="shared" si="11"/>
        <v>1.2875017675596019</v>
      </c>
      <c r="K31" s="236">
        <f t="shared" si="12"/>
        <v>139.1040336475119</v>
      </c>
      <c r="L31" s="235">
        <f t="shared" si="1"/>
        <v>0.73026673352537685</v>
      </c>
      <c r="M31" s="235">
        <f t="shared" si="2"/>
        <v>0.28158307771882785</v>
      </c>
      <c r="N31" s="237">
        <f t="shared" si="13"/>
        <v>331.47959909060421</v>
      </c>
      <c r="O31" s="237">
        <f t="shared" si="14"/>
        <v>241.96241141339897</v>
      </c>
      <c r="P31" s="237">
        <f t="shared" si="3"/>
        <v>6.2904565556583583</v>
      </c>
      <c r="Q31" s="237">
        <f t="shared" si="4"/>
        <v>14.448270244649711</v>
      </c>
      <c r="R31" s="237">
        <f t="shared" si="19"/>
        <v>151.92119849697679</v>
      </c>
      <c r="S31" s="233">
        <f t="shared" si="20"/>
        <v>0.05</v>
      </c>
      <c r="T31" s="238">
        <f t="shared" si="22"/>
        <v>0.3125</v>
      </c>
      <c r="U31" s="237">
        <f t="shared" si="25"/>
        <v>47.475374530305245</v>
      </c>
      <c r="V31" s="239">
        <f t="shared" si="17"/>
        <v>-132.08302606332217</v>
      </c>
    </row>
    <row r="33" spans="1:7" ht="20.100000000000001" customHeight="1">
      <c r="A33" s="489" t="s">
        <v>1737</v>
      </c>
      <c r="B33" s="247" t="s">
        <v>680</v>
      </c>
      <c r="C33" s="248" t="s">
        <v>1064</v>
      </c>
      <c r="D33" s="118"/>
      <c r="E33" s="118"/>
      <c r="F33" s="118"/>
      <c r="G33" s="245"/>
    </row>
    <row r="34" spans="1:7" ht="20.100000000000001" customHeight="1">
      <c r="A34" s="368" t="s">
        <v>1606</v>
      </c>
      <c r="B34" s="204" t="s">
        <v>29</v>
      </c>
      <c r="C34" s="250" t="s">
        <v>1065</v>
      </c>
      <c r="D34" s="240" t="s">
        <v>1066</v>
      </c>
      <c r="E34" s="240" t="s">
        <v>1067</v>
      </c>
      <c r="F34" s="133"/>
      <c r="G34" s="252">
        <v>60</v>
      </c>
    </row>
    <row r="35" spans="1:7" ht="20.100000000000001" customHeight="1">
      <c r="A35" s="490" t="s">
        <v>1738</v>
      </c>
      <c r="B35" s="204" t="s">
        <v>30</v>
      </c>
      <c r="C35" s="250" t="s">
        <v>1068</v>
      </c>
      <c r="D35" s="243" t="s">
        <v>1069</v>
      </c>
      <c r="E35" s="242" t="s">
        <v>249</v>
      </c>
      <c r="F35" s="242" t="s">
        <v>1070</v>
      </c>
      <c r="G35" s="249">
        <f>G34*0.05</f>
        <v>3</v>
      </c>
    </row>
    <row r="36" spans="1:7" ht="20.100000000000001" customHeight="1">
      <c r="A36" s="339" t="s">
        <v>1677</v>
      </c>
      <c r="B36" s="204" t="s">
        <v>31</v>
      </c>
      <c r="C36" s="251" t="s">
        <v>1074</v>
      </c>
      <c r="D36" s="243" t="s">
        <v>248</v>
      </c>
      <c r="E36" s="243" t="s">
        <v>249</v>
      </c>
      <c r="F36" s="241" t="s">
        <v>998</v>
      </c>
      <c r="G36" s="249">
        <f>锅炉计算!G44</f>
        <v>9.58</v>
      </c>
    </row>
    <row r="37" spans="1:7" ht="20.100000000000001" customHeight="1">
      <c r="A37" s="339" t="s">
        <v>1677</v>
      </c>
      <c r="B37" s="204" t="s">
        <v>32</v>
      </c>
      <c r="C37" s="251" t="s">
        <v>1076</v>
      </c>
      <c r="D37" s="243" t="s">
        <v>1071</v>
      </c>
      <c r="E37" s="243" t="s">
        <v>249</v>
      </c>
      <c r="F37" s="241" t="s">
        <v>998</v>
      </c>
      <c r="G37" s="249">
        <f>锅炉计算!G149</f>
        <v>140.6040336475119</v>
      </c>
    </row>
    <row r="38" spans="1:7" ht="20.100000000000001" customHeight="1">
      <c r="A38" s="337" t="s">
        <v>1679</v>
      </c>
      <c r="B38" s="204" t="s">
        <v>33</v>
      </c>
      <c r="C38" s="251" t="s">
        <v>1075</v>
      </c>
      <c r="D38" s="243" t="s">
        <v>1072</v>
      </c>
      <c r="E38" s="243" t="s">
        <v>249</v>
      </c>
      <c r="F38" s="243" t="s">
        <v>1073</v>
      </c>
      <c r="G38" s="249">
        <f>G37-G35</f>
        <v>137.6040336475119</v>
      </c>
    </row>
    <row r="39" spans="1:7" ht="20.100000000000001" customHeight="1">
      <c r="A39" s="337" t="s">
        <v>1679</v>
      </c>
      <c r="B39" s="204" t="s">
        <v>34</v>
      </c>
      <c r="C39" s="251" t="s">
        <v>1078</v>
      </c>
      <c r="D39" s="243" t="s">
        <v>997</v>
      </c>
      <c r="E39" s="243" t="s">
        <v>249</v>
      </c>
      <c r="F39" s="241" t="s">
        <v>1077</v>
      </c>
      <c r="G39" s="249">
        <f>(G37+G38)/2</f>
        <v>139.1040336475119</v>
      </c>
    </row>
  </sheetData>
  <mergeCells count="1">
    <mergeCell ref="B1:V1"/>
  </mergeCells>
  <phoneticPr fontId="1" type="noConversion"/>
  <pageMargins left="0.7" right="0.7" top="0.75" bottom="0.75" header="0.3" footer="0.3"/>
  <pageSetup paperSize="8" scale="87" fitToHeight="0" orientation="landscape" r:id="rId1"/>
  <legacyDrawing r:id="rId2"/>
</worksheet>
</file>

<file path=xl/worksheets/sheet8.xml><?xml version="1.0" encoding="utf-8"?>
<worksheet xmlns="http://schemas.openxmlformats.org/spreadsheetml/2006/main" xmlns:r="http://schemas.openxmlformats.org/officeDocument/2006/relationships">
  <sheetPr>
    <tabColor theme="2" tint="-0.749992370372631"/>
  </sheetPr>
  <dimension ref="A1:R85"/>
  <sheetViews>
    <sheetView topLeftCell="A7" workbookViewId="0">
      <selection activeCell="A15" sqref="A15"/>
    </sheetView>
  </sheetViews>
  <sheetFormatPr defaultRowHeight="13.5"/>
  <cols>
    <col min="1" max="1" width="36.75" customWidth="1"/>
    <col min="3" max="3" width="26" customWidth="1"/>
    <col min="6" max="6" width="35.75" customWidth="1"/>
    <col min="7" max="7" width="11" customWidth="1"/>
    <col min="8" max="8" width="11.75" customWidth="1"/>
    <col min="9" max="9" width="12.75" bestFit="1" customWidth="1"/>
    <col min="10" max="10" width="9.25" customWidth="1"/>
    <col min="11" max="11" width="12.75" customWidth="1"/>
    <col min="12" max="12" width="36.875" customWidth="1"/>
    <col min="13" max="13" width="11.25" customWidth="1"/>
    <col min="14" max="14" width="24" customWidth="1"/>
    <col min="15" max="15" width="11" customWidth="1"/>
    <col min="16" max="16" width="13.625" customWidth="1"/>
    <col min="17" max="17" width="56.5" customWidth="1"/>
    <col min="18" max="18" width="13.875" customWidth="1"/>
  </cols>
  <sheetData>
    <row r="1" spans="1:18" ht="14.25">
      <c r="B1" s="22" t="s">
        <v>228</v>
      </c>
      <c r="C1" s="22"/>
      <c r="M1" s="426" t="s">
        <v>1437</v>
      </c>
      <c r="N1" s="426"/>
      <c r="O1" s="426"/>
      <c r="P1" s="426"/>
      <c r="Q1" s="426"/>
      <c r="R1" s="426"/>
    </row>
    <row r="2" spans="1:18">
      <c r="A2" s="339" t="s">
        <v>1676</v>
      </c>
      <c r="B2" s="17">
        <v>1</v>
      </c>
      <c r="C2" s="17" t="s">
        <v>222</v>
      </c>
      <c r="D2" s="17" t="s">
        <v>223</v>
      </c>
      <c r="E2" s="17" t="s">
        <v>224</v>
      </c>
      <c r="F2" s="361" t="s">
        <v>1588</v>
      </c>
      <c r="G2" s="17">
        <v>2690</v>
      </c>
      <c r="M2" s="312"/>
      <c r="N2" s="312" t="s">
        <v>1383</v>
      </c>
      <c r="O2" s="312" t="s">
        <v>1384</v>
      </c>
      <c r="P2" s="312" t="s">
        <v>1385</v>
      </c>
      <c r="Q2" s="312" t="s">
        <v>1386</v>
      </c>
      <c r="R2" s="312" t="s">
        <v>1387</v>
      </c>
    </row>
    <row r="3" spans="1:18" ht="26.25" customHeight="1">
      <c r="A3" s="337" t="s">
        <v>1679</v>
      </c>
      <c r="B3" s="17">
        <v>2</v>
      </c>
      <c r="C3" s="17" t="s">
        <v>225</v>
      </c>
      <c r="D3" s="17" t="s">
        <v>226</v>
      </c>
      <c r="E3" s="327" t="s">
        <v>227</v>
      </c>
      <c r="F3" s="17"/>
      <c r="G3" s="17">
        <f>1013.25*(1-G2/44330)^5.255*100</f>
        <v>72920.37148279605</v>
      </c>
      <c r="L3" s="339" t="s">
        <v>1677</v>
      </c>
      <c r="M3" s="312" t="s">
        <v>132</v>
      </c>
      <c r="N3" s="317" t="s">
        <v>1388</v>
      </c>
      <c r="O3" s="318" t="s">
        <v>1450</v>
      </c>
      <c r="P3" s="318" t="s">
        <v>1389</v>
      </c>
      <c r="Q3" s="317" t="s">
        <v>1390</v>
      </c>
      <c r="R3" s="493">
        <f>锅炉计算!G19</f>
        <v>130</v>
      </c>
    </row>
    <row r="4" spans="1:18" ht="14.25">
      <c r="L4" s="368" t="s">
        <v>1678</v>
      </c>
      <c r="M4" s="312" t="s">
        <v>136</v>
      </c>
      <c r="N4" s="317" t="s">
        <v>1391</v>
      </c>
      <c r="O4" s="318" t="s">
        <v>1392</v>
      </c>
      <c r="P4" s="318" t="s">
        <v>1393</v>
      </c>
      <c r="Q4" s="317" t="s">
        <v>1760</v>
      </c>
      <c r="R4" s="494">
        <v>1</v>
      </c>
    </row>
    <row r="5" spans="1:18" s="23" customFormat="1" ht="14.25">
      <c r="B5" s="22" t="s">
        <v>130</v>
      </c>
      <c r="G5" s="24" t="s">
        <v>220</v>
      </c>
      <c r="H5" s="24" t="s">
        <v>221</v>
      </c>
      <c r="I5" s="24" t="s">
        <v>131</v>
      </c>
      <c r="L5" s="368" t="s">
        <v>1678</v>
      </c>
      <c r="M5" s="312" t="s">
        <v>140</v>
      </c>
      <c r="N5" s="317" t="s">
        <v>1394</v>
      </c>
      <c r="O5" s="318" t="s">
        <v>1395</v>
      </c>
      <c r="P5" s="318" t="s">
        <v>1396</v>
      </c>
      <c r="Q5" s="317" t="s">
        <v>1759</v>
      </c>
      <c r="R5" s="495">
        <v>1E-3</v>
      </c>
    </row>
    <row r="6" spans="1:18" s="23" customFormat="1" ht="14.25">
      <c r="A6" s="369" t="s">
        <v>1607</v>
      </c>
      <c r="B6" s="17" t="s">
        <v>132</v>
      </c>
      <c r="C6" s="25" t="s">
        <v>133</v>
      </c>
      <c r="D6" s="25" t="s">
        <v>134</v>
      </c>
      <c r="E6" s="25" t="s">
        <v>135</v>
      </c>
      <c r="F6" s="25"/>
      <c r="G6" s="28">
        <v>20</v>
      </c>
      <c r="H6" s="28">
        <v>20</v>
      </c>
      <c r="I6" s="28">
        <v>20</v>
      </c>
      <c r="L6" s="492" t="s">
        <v>1375</v>
      </c>
      <c r="M6" s="312" t="s">
        <v>144</v>
      </c>
      <c r="N6" s="317" t="s">
        <v>1397</v>
      </c>
      <c r="O6" s="318" t="s">
        <v>1398</v>
      </c>
      <c r="P6" s="318" t="s">
        <v>1399</v>
      </c>
      <c r="Q6" s="317" t="s">
        <v>1451</v>
      </c>
      <c r="R6" s="319">
        <f>R3*1000*R5</f>
        <v>130</v>
      </c>
    </row>
    <row r="7" spans="1:18" s="23" customFormat="1" ht="18.75">
      <c r="A7" s="339" t="s">
        <v>1677</v>
      </c>
      <c r="B7" s="17" t="s">
        <v>136</v>
      </c>
      <c r="C7" s="25" t="s">
        <v>137</v>
      </c>
      <c r="D7" s="25" t="s">
        <v>138</v>
      </c>
      <c r="E7" s="25" t="s">
        <v>139</v>
      </c>
      <c r="F7" s="25"/>
      <c r="G7" s="496">
        <f>锅炉计算!G94</f>
        <v>71506.670668517239</v>
      </c>
      <c r="H7" s="496">
        <f>锅炉计算!G107</f>
        <v>71506.670668517239</v>
      </c>
      <c r="I7" s="496">
        <f>锅炉计算!G155</f>
        <v>290354.89369607874</v>
      </c>
      <c r="L7" s="339" t="s">
        <v>1677</v>
      </c>
      <c r="M7" s="312" t="s">
        <v>148</v>
      </c>
      <c r="N7" s="317" t="s">
        <v>1400</v>
      </c>
      <c r="O7" s="318" t="s">
        <v>1401</v>
      </c>
      <c r="P7" s="318" t="s">
        <v>1455</v>
      </c>
      <c r="Q7" s="317"/>
      <c r="R7" s="319">
        <f>锅炉计算!G23</f>
        <v>10.791000000000002</v>
      </c>
    </row>
    <row r="8" spans="1:18" s="23" customFormat="1" ht="21" customHeight="1">
      <c r="A8" s="339" t="s">
        <v>1677</v>
      </c>
      <c r="B8" s="17" t="s">
        <v>140</v>
      </c>
      <c r="C8" s="25" t="s">
        <v>141</v>
      </c>
      <c r="D8" s="25" t="s">
        <v>142</v>
      </c>
      <c r="E8" s="25" t="s">
        <v>143</v>
      </c>
      <c r="F8" s="25"/>
      <c r="G8" s="28">
        <f>锅炉计算!G43*1000</f>
        <v>86755</v>
      </c>
      <c r="H8" s="28">
        <f>锅炉计算!G43*1000</f>
        <v>86755</v>
      </c>
      <c r="I8" s="28">
        <f>锅炉计算!G43*1000</f>
        <v>86755</v>
      </c>
      <c r="L8" s="339" t="s">
        <v>1677</v>
      </c>
      <c r="M8" s="312" t="s">
        <v>151</v>
      </c>
      <c r="N8" s="320" t="s">
        <v>1402</v>
      </c>
      <c r="O8" s="318" t="s">
        <v>1403</v>
      </c>
      <c r="P8" s="318" t="s">
        <v>1404</v>
      </c>
      <c r="Q8" s="317" t="s">
        <v>1400</v>
      </c>
      <c r="R8" s="319">
        <f>锅炉计算!G24</f>
        <v>1441.540613366803</v>
      </c>
    </row>
    <row r="9" spans="1:18" s="23" customFormat="1" ht="27" customHeight="1">
      <c r="A9" s="369" t="s">
        <v>1607</v>
      </c>
      <c r="B9" s="17" t="s">
        <v>144</v>
      </c>
      <c r="C9" s="25" t="s">
        <v>145</v>
      </c>
      <c r="D9" s="25" t="s">
        <v>146</v>
      </c>
      <c r="E9" s="25" t="s">
        <v>147</v>
      </c>
      <c r="F9" s="25"/>
      <c r="G9" s="25">
        <v>0</v>
      </c>
      <c r="H9" s="25">
        <v>0</v>
      </c>
      <c r="I9" s="25">
        <v>0</v>
      </c>
      <c r="L9" s="368" t="s">
        <v>1678</v>
      </c>
      <c r="M9" s="312" t="s">
        <v>188</v>
      </c>
      <c r="N9" s="320" t="s">
        <v>1405</v>
      </c>
      <c r="O9" s="318"/>
      <c r="P9" s="318"/>
      <c r="Q9" s="320" t="s">
        <v>1758</v>
      </c>
      <c r="R9" s="319">
        <v>0.15</v>
      </c>
    </row>
    <row r="10" spans="1:18" s="23" customFormat="1" ht="22.5" customHeight="1">
      <c r="A10" s="369" t="s">
        <v>1607</v>
      </c>
      <c r="B10" s="17" t="s">
        <v>148</v>
      </c>
      <c r="C10" s="25" t="s">
        <v>149</v>
      </c>
      <c r="D10" s="25" t="s">
        <v>142</v>
      </c>
      <c r="E10" s="25" t="s">
        <v>150</v>
      </c>
      <c r="F10" s="25"/>
      <c r="G10" s="25">
        <v>101325</v>
      </c>
      <c r="H10" s="25">
        <v>101325</v>
      </c>
      <c r="I10" s="25">
        <v>101325</v>
      </c>
      <c r="L10" s="492" t="s">
        <v>1375</v>
      </c>
      <c r="M10" s="312" t="s">
        <v>193</v>
      </c>
      <c r="N10" s="320" t="s">
        <v>1755</v>
      </c>
      <c r="O10" s="318" t="s">
        <v>1407</v>
      </c>
      <c r="P10" s="318" t="s">
        <v>1404</v>
      </c>
      <c r="Q10" s="320"/>
      <c r="R10" s="319">
        <f>HL_P(R9)</f>
        <v>467.08073987863997</v>
      </c>
    </row>
    <row r="11" spans="1:18" s="23" customFormat="1" ht="18.75">
      <c r="A11" s="337" t="s">
        <v>1679</v>
      </c>
      <c r="B11" s="17" t="s">
        <v>151</v>
      </c>
      <c r="C11" s="25" t="s">
        <v>152</v>
      </c>
      <c r="D11" s="25" t="s">
        <v>153</v>
      </c>
      <c r="E11" s="25" t="s">
        <v>154</v>
      </c>
      <c r="F11" s="25" t="s">
        <v>155</v>
      </c>
      <c r="G11" s="26">
        <f>G7*(G8/G10)*((G9+273)/(G6+273))</f>
        <v>57045.249804603991</v>
      </c>
      <c r="H11" s="26">
        <f>H7*(H8/H10)*((H9+273)/(H6+273))</f>
        <v>57045.249804603991</v>
      </c>
      <c r="I11" s="26">
        <f>I7*(I8/I10)*((I9+273)/(I6+273))</f>
        <v>231633.87818270386</v>
      </c>
      <c r="L11" s="492" t="s">
        <v>1375</v>
      </c>
      <c r="M11" s="312" t="s">
        <v>196</v>
      </c>
      <c r="N11" s="320" t="s">
        <v>1408</v>
      </c>
      <c r="O11" s="318" t="s">
        <v>1409</v>
      </c>
      <c r="P11" s="318" t="s">
        <v>1404</v>
      </c>
      <c r="Q11" s="317" t="s">
        <v>1410</v>
      </c>
      <c r="R11" s="319">
        <f>HG_P(R9)-R10</f>
        <v>2226.0325341874127</v>
      </c>
    </row>
    <row r="12" spans="1:18" s="23" customFormat="1" ht="19.5" customHeight="1">
      <c r="B12" s="22" t="s">
        <v>156</v>
      </c>
      <c r="G12" s="24" t="s">
        <v>220</v>
      </c>
      <c r="H12" s="24" t="s">
        <v>221</v>
      </c>
      <c r="I12" s="24" t="s">
        <v>131</v>
      </c>
      <c r="L12" s="368" t="s">
        <v>1678</v>
      </c>
      <c r="M12" s="312" t="s">
        <v>200</v>
      </c>
      <c r="N12" s="320" t="s">
        <v>1454</v>
      </c>
      <c r="O12" s="318" t="s">
        <v>1412</v>
      </c>
      <c r="P12" s="318" t="s">
        <v>1413</v>
      </c>
      <c r="Q12" s="317" t="s">
        <v>1756</v>
      </c>
      <c r="R12" s="332">
        <v>2000</v>
      </c>
    </row>
    <row r="13" spans="1:18" s="23" customFormat="1" ht="18.75">
      <c r="A13" s="369" t="s">
        <v>1607</v>
      </c>
      <c r="B13" s="17" t="s">
        <v>132</v>
      </c>
      <c r="C13" s="25" t="s">
        <v>157</v>
      </c>
      <c r="D13" s="25" t="s">
        <v>158</v>
      </c>
      <c r="E13" s="25" t="s">
        <v>159</v>
      </c>
      <c r="F13" s="25"/>
      <c r="G13" s="25">
        <v>0</v>
      </c>
      <c r="H13" s="25">
        <v>0</v>
      </c>
      <c r="I13" s="25">
        <v>0</v>
      </c>
      <c r="L13" s="337" t="s">
        <v>1679</v>
      </c>
      <c r="M13" s="312" t="s">
        <v>201</v>
      </c>
      <c r="N13" s="320" t="s">
        <v>1414</v>
      </c>
      <c r="O13" s="318" t="s">
        <v>1415</v>
      </c>
      <c r="P13" s="318" t="s">
        <v>1416</v>
      </c>
      <c r="Q13" s="317" t="s">
        <v>1757</v>
      </c>
      <c r="R13" s="319">
        <f>60*R6*(R8-R10)/R4/R12/R11*1.3</f>
        <v>2.2194246861663514</v>
      </c>
    </row>
    <row r="14" spans="1:18" s="23" customFormat="1" ht="18.75">
      <c r="A14" s="369" t="s">
        <v>1607</v>
      </c>
      <c r="B14" s="17" t="s">
        <v>136</v>
      </c>
      <c r="C14" s="25" t="s">
        <v>160</v>
      </c>
      <c r="D14" s="25" t="s">
        <v>161</v>
      </c>
      <c r="E14" s="25" t="s">
        <v>162</v>
      </c>
      <c r="F14" s="25"/>
      <c r="G14" s="25">
        <v>101325</v>
      </c>
      <c r="H14" s="25">
        <v>101325</v>
      </c>
      <c r="I14" s="25">
        <v>101325</v>
      </c>
      <c r="L14" s="338" t="s">
        <v>1382</v>
      </c>
      <c r="M14" s="312" t="s">
        <v>215</v>
      </c>
      <c r="N14" s="322" t="s">
        <v>1417</v>
      </c>
      <c r="O14" s="427" t="s">
        <v>1452</v>
      </c>
      <c r="P14" s="427"/>
      <c r="Q14" s="427"/>
      <c r="R14" s="427"/>
    </row>
    <row r="15" spans="1:18" s="23" customFormat="1" ht="18.75">
      <c r="A15" s="339" t="s">
        <v>1677</v>
      </c>
      <c r="B15" s="17" t="s">
        <v>140</v>
      </c>
      <c r="C15" s="25" t="s">
        <v>163</v>
      </c>
      <c r="D15" s="25" t="s">
        <v>164</v>
      </c>
      <c r="E15" s="25" t="s">
        <v>165</v>
      </c>
      <c r="F15" s="25"/>
      <c r="G15" s="496">
        <f>锅炉计算!G93</f>
        <v>57045.249804603976</v>
      </c>
      <c r="H15" s="496">
        <f>锅炉计算!G106</f>
        <v>57045.249804603976</v>
      </c>
      <c r="I15" s="496">
        <f>锅炉计算!G152</f>
        <v>164091.06485013731</v>
      </c>
      <c r="M15" s="323" t="s">
        <v>1438</v>
      </c>
      <c r="N15" s="323"/>
      <c r="O15" s="323"/>
      <c r="P15" s="323"/>
      <c r="Q15" s="323"/>
      <c r="R15" s="323"/>
    </row>
    <row r="16" spans="1:18" s="23" customFormat="1">
      <c r="A16" s="369" t="s">
        <v>1607</v>
      </c>
      <c r="B16" s="17" t="s">
        <v>144</v>
      </c>
      <c r="C16" s="25" t="s">
        <v>166</v>
      </c>
      <c r="D16" s="25" t="s">
        <v>158</v>
      </c>
      <c r="E16" s="25" t="s">
        <v>167</v>
      </c>
      <c r="F16" s="25"/>
      <c r="G16" s="28">
        <v>20</v>
      </c>
      <c r="H16" s="28">
        <v>20</v>
      </c>
      <c r="I16" s="330">
        <f>145+15</f>
        <v>160</v>
      </c>
      <c r="M16" s="312"/>
      <c r="N16" s="312" t="s">
        <v>1383</v>
      </c>
      <c r="O16" s="312" t="s">
        <v>1384</v>
      </c>
      <c r="P16" s="312" t="s">
        <v>1385</v>
      </c>
      <c r="Q16" s="312" t="s">
        <v>1386</v>
      </c>
      <c r="R16" s="312" t="s">
        <v>1387</v>
      </c>
    </row>
    <row r="17" spans="1:18" s="23" customFormat="1" ht="14.25">
      <c r="A17" s="339" t="s">
        <v>1677</v>
      </c>
      <c r="B17" s="17" t="s">
        <v>148</v>
      </c>
      <c r="C17" s="25" t="s">
        <v>168</v>
      </c>
      <c r="D17" s="25" t="s">
        <v>161</v>
      </c>
      <c r="E17" s="25" t="s">
        <v>169</v>
      </c>
      <c r="F17" s="25"/>
      <c r="G17" s="28">
        <f>锅炉计算!G43*1000</f>
        <v>86755</v>
      </c>
      <c r="H17" s="28">
        <f>锅炉计算!G43*1000</f>
        <v>86755</v>
      </c>
      <c r="I17" s="28">
        <f>锅炉计算!G43*1000</f>
        <v>86755</v>
      </c>
      <c r="L17" s="339" t="s">
        <v>1677</v>
      </c>
      <c r="M17" s="312" t="s">
        <v>132</v>
      </c>
      <c r="N17" s="317" t="s">
        <v>1388</v>
      </c>
      <c r="O17" s="318" t="s">
        <v>1450</v>
      </c>
      <c r="P17" s="318" t="s">
        <v>1389</v>
      </c>
      <c r="Q17" s="317" t="s">
        <v>1390</v>
      </c>
      <c r="R17" s="493">
        <f>锅炉计算!G19</f>
        <v>130</v>
      </c>
    </row>
    <row r="18" spans="1:18" s="23" customFormat="1" ht="18.75">
      <c r="A18" s="337" t="s">
        <v>1679</v>
      </c>
      <c r="B18" s="17" t="s">
        <v>151</v>
      </c>
      <c r="C18" s="25" t="s">
        <v>170</v>
      </c>
      <c r="D18" s="25" t="s">
        <v>171</v>
      </c>
      <c r="E18" s="25" t="s">
        <v>172</v>
      </c>
      <c r="F18" s="25" t="s">
        <v>173</v>
      </c>
      <c r="G18" s="26">
        <f>G15*(G14/G17)*((G16+273)/(G13+273))</f>
        <v>71506.670668517225</v>
      </c>
      <c r="H18" s="26">
        <f>H15*(H14/H17)*((H16+273)/(H13+273))</f>
        <v>71506.670668517225</v>
      </c>
      <c r="I18" s="26">
        <f>I15*(I14/I17)*((I16+273)/(I13+273))</f>
        <v>303971.09008261823</v>
      </c>
      <c r="L18" s="368" t="s">
        <v>1678</v>
      </c>
      <c r="M18" s="312" t="s">
        <v>1439</v>
      </c>
      <c r="N18" s="317" t="s">
        <v>1418</v>
      </c>
      <c r="O18" s="318" t="s">
        <v>1395</v>
      </c>
      <c r="P18" s="318" t="s">
        <v>1396</v>
      </c>
      <c r="Q18" s="317" t="s">
        <v>1761</v>
      </c>
      <c r="R18" s="495">
        <v>0.02</v>
      </c>
    </row>
    <row r="19" spans="1:18" s="23" customFormat="1" ht="19.5" customHeight="1">
      <c r="B19" s="22" t="s">
        <v>229</v>
      </c>
      <c r="L19" s="492" t="s">
        <v>1375</v>
      </c>
      <c r="M19" s="312" t="s">
        <v>1376</v>
      </c>
      <c r="N19" s="317" t="s">
        <v>1419</v>
      </c>
      <c r="O19" s="318" t="s">
        <v>1398</v>
      </c>
      <c r="P19" s="318" t="s">
        <v>1399</v>
      </c>
      <c r="Q19" s="317" t="s">
        <v>1420</v>
      </c>
      <c r="R19" s="319">
        <f>R17*1000*R18</f>
        <v>2600</v>
      </c>
    </row>
    <row r="20" spans="1:18" s="23" customFormat="1" ht="15" customHeight="1">
      <c r="A20" s="25"/>
      <c r="B20" s="17" t="s">
        <v>132</v>
      </c>
      <c r="C20" s="25" t="s">
        <v>174</v>
      </c>
      <c r="D20" s="25" t="s">
        <v>175</v>
      </c>
      <c r="E20" s="25" t="s">
        <v>176</v>
      </c>
      <c r="F20" s="25" t="s">
        <v>177</v>
      </c>
      <c r="G20" s="17" t="s">
        <v>178</v>
      </c>
      <c r="L20" s="339" t="s">
        <v>1677</v>
      </c>
      <c r="M20" s="312" t="s">
        <v>1377</v>
      </c>
      <c r="N20" s="317" t="s">
        <v>1421</v>
      </c>
      <c r="O20" s="318" t="s">
        <v>1422</v>
      </c>
      <c r="P20" s="318" t="s">
        <v>1455</v>
      </c>
      <c r="Q20" s="317"/>
      <c r="R20" s="319">
        <f>锅炉计算!G23</f>
        <v>10.791000000000002</v>
      </c>
    </row>
    <row r="21" spans="1:18" s="23" customFormat="1" ht="18.75">
      <c r="A21" s="369" t="s">
        <v>1607</v>
      </c>
      <c r="B21" s="17" t="s">
        <v>136</v>
      </c>
      <c r="C21" s="27" t="s">
        <v>1099</v>
      </c>
      <c r="D21" s="25" t="s">
        <v>179</v>
      </c>
      <c r="E21" s="25" t="s">
        <v>146</v>
      </c>
      <c r="F21" s="25" t="s">
        <v>180</v>
      </c>
      <c r="G21" s="25">
        <f>G16</f>
        <v>20</v>
      </c>
      <c r="L21" s="339" t="s">
        <v>1677</v>
      </c>
      <c r="M21" s="312" t="s">
        <v>1440</v>
      </c>
      <c r="N21" s="320" t="s">
        <v>1423</v>
      </c>
      <c r="O21" s="318" t="s">
        <v>1424</v>
      </c>
      <c r="P21" s="318" t="s">
        <v>1425</v>
      </c>
      <c r="Q21" s="317" t="s">
        <v>1421</v>
      </c>
      <c r="R21" s="319">
        <f>锅炉计算!G24</f>
        <v>1441.540613366803</v>
      </c>
    </row>
    <row r="22" spans="1:18" s="23" customFormat="1" ht="19.5" customHeight="1">
      <c r="A22" s="368" t="s">
        <v>1678</v>
      </c>
      <c r="B22" s="205" t="s">
        <v>140</v>
      </c>
      <c r="C22" s="25" t="s">
        <v>1082</v>
      </c>
      <c r="D22" s="28" t="s">
        <v>1083</v>
      </c>
      <c r="E22" s="28" t="s">
        <v>142</v>
      </c>
      <c r="F22" s="253" t="s">
        <v>1739</v>
      </c>
      <c r="G22" s="305">
        <v>7500</v>
      </c>
      <c r="L22" s="368" t="s">
        <v>1678</v>
      </c>
      <c r="M22" s="312" t="s">
        <v>1441</v>
      </c>
      <c r="N22" s="320" t="s">
        <v>1405</v>
      </c>
      <c r="O22" s="318"/>
      <c r="P22" s="318"/>
      <c r="Q22" s="320" t="s">
        <v>1762</v>
      </c>
      <c r="R22" s="319">
        <v>1</v>
      </c>
    </row>
    <row r="23" spans="1:18" s="23" customFormat="1" ht="20.25" customHeight="1">
      <c r="A23" s="368" t="s">
        <v>1678</v>
      </c>
      <c r="B23" s="205" t="s">
        <v>144</v>
      </c>
      <c r="C23" s="25" t="s">
        <v>1081</v>
      </c>
      <c r="D23" s="28" t="s">
        <v>1084</v>
      </c>
      <c r="E23" s="28" t="s">
        <v>181</v>
      </c>
      <c r="F23" s="253" t="s">
        <v>1740</v>
      </c>
      <c r="G23" s="305">
        <v>1500</v>
      </c>
      <c r="L23" s="492" t="s">
        <v>1375</v>
      </c>
      <c r="M23" s="312" t="s">
        <v>1442</v>
      </c>
      <c r="N23" s="320" t="s">
        <v>1406</v>
      </c>
      <c r="O23" s="318" t="s">
        <v>1407</v>
      </c>
      <c r="P23" s="318" t="s">
        <v>1404</v>
      </c>
      <c r="Q23" s="320"/>
      <c r="R23" s="319">
        <f>HL_P(R22)</f>
        <v>762.68284936224563</v>
      </c>
    </row>
    <row r="24" spans="1:18" s="23" customFormat="1" ht="24" customHeight="1">
      <c r="A24" s="339" t="s">
        <v>1677</v>
      </c>
      <c r="B24" s="205" t="s">
        <v>148</v>
      </c>
      <c r="C24" s="25" t="s">
        <v>182</v>
      </c>
      <c r="D24" s="28" t="s">
        <v>183</v>
      </c>
      <c r="E24" s="28" t="s">
        <v>181</v>
      </c>
      <c r="F24" s="25"/>
      <c r="G24" s="25">
        <f>锅炉计算!G43*1000</f>
        <v>86755</v>
      </c>
      <c r="L24" s="492" t="s">
        <v>1200</v>
      </c>
      <c r="M24" s="312" t="s">
        <v>1443</v>
      </c>
      <c r="N24" s="320" t="s">
        <v>1426</v>
      </c>
      <c r="O24" s="318" t="s">
        <v>1427</v>
      </c>
      <c r="P24" s="318" t="s">
        <v>1428</v>
      </c>
      <c r="Q24" s="317" t="s">
        <v>1429</v>
      </c>
      <c r="R24" s="319">
        <f>VG_P(R22)</f>
        <v>0.19434888501844563</v>
      </c>
    </row>
    <row r="25" spans="1:18" s="23" customFormat="1" ht="24" customHeight="1">
      <c r="A25" s="492" t="s">
        <v>1375</v>
      </c>
      <c r="B25" s="205" t="s">
        <v>151</v>
      </c>
      <c r="C25" s="27" t="s">
        <v>184</v>
      </c>
      <c r="D25" s="28" t="s">
        <v>185</v>
      </c>
      <c r="E25" s="28" t="s">
        <v>138</v>
      </c>
      <c r="F25" s="254" t="s">
        <v>1080</v>
      </c>
      <c r="G25" s="30">
        <f>1.1*G18</f>
        <v>78657.337735368958</v>
      </c>
      <c r="L25" s="492" t="s">
        <v>1375</v>
      </c>
      <c r="M25" s="312" t="s">
        <v>1444</v>
      </c>
      <c r="N25" s="320" t="s">
        <v>1408</v>
      </c>
      <c r="O25" s="318" t="s">
        <v>1409</v>
      </c>
      <c r="P25" s="318" t="s">
        <v>1404</v>
      </c>
      <c r="Q25" s="317" t="s">
        <v>1410</v>
      </c>
      <c r="R25" s="319">
        <f>HG_P(R22)-R23</f>
        <v>2014.4366914205862</v>
      </c>
    </row>
    <row r="26" spans="1:18" s="23" customFormat="1" ht="24" customHeight="1">
      <c r="A26" s="369" t="s">
        <v>1607</v>
      </c>
      <c r="B26" s="205" t="s">
        <v>188</v>
      </c>
      <c r="C26" s="27" t="s">
        <v>1098</v>
      </c>
      <c r="D26" s="28" t="s">
        <v>186</v>
      </c>
      <c r="E26" s="25" t="s">
        <v>187</v>
      </c>
      <c r="F26" s="254" t="s">
        <v>1100</v>
      </c>
      <c r="G26" s="27">
        <v>20</v>
      </c>
      <c r="L26" s="368" t="s">
        <v>1678</v>
      </c>
      <c r="M26" s="312" t="s">
        <v>1445</v>
      </c>
      <c r="N26" s="320" t="s">
        <v>1456</v>
      </c>
      <c r="O26" s="318" t="s">
        <v>1430</v>
      </c>
      <c r="P26" s="318"/>
      <c r="Q26" s="317" t="s">
        <v>1763</v>
      </c>
      <c r="R26" s="321">
        <v>0.97</v>
      </c>
    </row>
    <row r="27" spans="1:18" s="23" customFormat="1" ht="18.75">
      <c r="A27" s="492" t="s">
        <v>1375</v>
      </c>
      <c r="B27" s="205" t="s">
        <v>193</v>
      </c>
      <c r="C27" s="25" t="s">
        <v>189</v>
      </c>
      <c r="D27" s="28" t="s">
        <v>190</v>
      </c>
      <c r="E27" s="28" t="s">
        <v>191</v>
      </c>
      <c r="F27" s="28" t="s">
        <v>192</v>
      </c>
      <c r="G27" s="31">
        <f>G22+G23*(101325/G24)*((G21+273)/(G26+273))*1.293/(1.293*273/(273+G21))</f>
        <v>9380.2618337227286</v>
      </c>
      <c r="L27" s="368" t="s">
        <v>1678</v>
      </c>
      <c r="M27" s="312" t="s">
        <v>1446</v>
      </c>
      <c r="N27" s="320" t="s">
        <v>1411</v>
      </c>
      <c r="O27" s="318" t="s">
        <v>1412</v>
      </c>
      <c r="P27" s="318" t="s">
        <v>1413</v>
      </c>
      <c r="Q27" s="317" t="s">
        <v>1764</v>
      </c>
      <c r="R27" s="321">
        <v>800</v>
      </c>
    </row>
    <row r="28" spans="1:18" s="23" customFormat="1" ht="24" customHeight="1">
      <c r="A28" s="337" t="s">
        <v>1679</v>
      </c>
      <c r="B28" s="205" t="s">
        <v>196</v>
      </c>
      <c r="C28" s="25" t="s">
        <v>194</v>
      </c>
      <c r="D28" s="28" t="s">
        <v>195</v>
      </c>
      <c r="E28" s="25"/>
      <c r="F28" s="316" t="s">
        <v>1379</v>
      </c>
      <c r="G28" s="32">
        <f>G27*1.2</f>
        <v>11256.314200467274</v>
      </c>
      <c r="L28" s="492" t="s">
        <v>1375</v>
      </c>
      <c r="M28" s="312" t="s">
        <v>1447</v>
      </c>
      <c r="N28" s="320" t="s">
        <v>1431</v>
      </c>
      <c r="O28" s="318" t="s">
        <v>1432</v>
      </c>
      <c r="P28" s="318" t="s">
        <v>1433</v>
      </c>
      <c r="Q28" s="317" t="s">
        <v>1434</v>
      </c>
      <c r="R28" s="319">
        <f>R19*(R21-R23)/R26/R27</f>
        <v>2274.5234360977438</v>
      </c>
    </row>
    <row r="29" spans="1:18" s="23" customFormat="1" ht="18.75">
      <c r="A29" s="337" t="s">
        <v>1679</v>
      </c>
      <c r="B29" s="205" t="s">
        <v>200</v>
      </c>
      <c r="C29" s="25" t="s">
        <v>197</v>
      </c>
      <c r="D29" s="28" t="s">
        <v>198</v>
      </c>
      <c r="E29" s="28" t="s">
        <v>199</v>
      </c>
      <c r="F29" s="316" t="s">
        <v>1380</v>
      </c>
      <c r="G29" s="26">
        <f>G25*1.3</f>
        <v>102254.53905597965</v>
      </c>
      <c r="H29" s="23">
        <f>G29/3600</f>
        <v>28.404038626661013</v>
      </c>
      <c r="L29" s="337" t="s">
        <v>1679</v>
      </c>
      <c r="M29" s="312" t="s">
        <v>1448</v>
      </c>
      <c r="N29" s="320" t="s">
        <v>1435</v>
      </c>
      <c r="O29" s="318" t="s">
        <v>1415</v>
      </c>
      <c r="P29" s="318" t="s">
        <v>1416</v>
      </c>
      <c r="Q29" s="317" t="s">
        <v>1436</v>
      </c>
      <c r="R29" s="319">
        <f>(1+0.25)*R28*R24/R27*1.2</f>
        <v>0.82884580078860048</v>
      </c>
    </row>
    <row r="30" spans="1:18" s="23" customFormat="1" ht="14.25">
      <c r="A30" s="368" t="s">
        <v>1678</v>
      </c>
      <c r="B30" s="205" t="s">
        <v>201</v>
      </c>
      <c r="C30" s="25" t="s">
        <v>234</v>
      </c>
      <c r="D30" s="25" t="s">
        <v>202</v>
      </c>
      <c r="E30" s="25"/>
      <c r="F30" s="25" t="s">
        <v>1741</v>
      </c>
      <c r="G30" s="34">
        <v>0.75</v>
      </c>
      <c r="L30" s="338" t="s">
        <v>1382</v>
      </c>
      <c r="M30" s="312" t="s">
        <v>1449</v>
      </c>
      <c r="N30" s="322" t="s">
        <v>1417</v>
      </c>
      <c r="O30" s="428" t="s">
        <v>1453</v>
      </c>
      <c r="P30" s="429"/>
      <c r="Q30" s="429"/>
      <c r="R30" s="430"/>
    </row>
    <row r="31" spans="1:18" s="23" customFormat="1" ht="18.75">
      <c r="A31" s="368" t="s">
        <v>1678</v>
      </c>
      <c r="B31" s="205" t="s">
        <v>203</v>
      </c>
      <c r="C31" s="25" t="s">
        <v>204</v>
      </c>
      <c r="D31" s="25" t="s">
        <v>205</v>
      </c>
      <c r="E31" s="25"/>
      <c r="F31" s="25" t="s">
        <v>1742</v>
      </c>
      <c r="G31" s="33">
        <v>0.95</v>
      </c>
    </row>
    <row r="32" spans="1:18" s="23" customFormat="1" ht="18.75">
      <c r="A32" s="337" t="s">
        <v>1679</v>
      </c>
      <c r="B32" s="205" t="s">
        <v>206</v>
      </c>
      <c r="C32" s="25" t="s">
        <v>207</v>
      </c>
      <c r="D32" s="28" t="s">
        <v>208</v>
      </c>
      <c r="E32" s="25" t="s">
        <v>209</v>
      </c>
      <c r="F32" s="25" t="s">
        <v>210</v>
      </c>
      <c r="G32" s="144">
        <f>G28*G29/G30/3600/1000</f>
        <v>426.29971112520712</v>
      </c>
    </row>
    <row r="33" spans="1:9" s="23" customFormat="1" ht="14.25">
      <c r="A33" s="369" t="s">
        <v>1607</v>
      </c>
      <c r="B33" s="205" t="s">
        <v>211</v>
      </c>
      <c r="C33" s="25" t="s">
        <v>212</v>
      </c>
      <c r="D33" s="25" t="s">
        <v>213</v>
      </c>
      <c r="E33" s="25"/>
      <c r="F33" s="25"/>
      <c r="G33" s="34">
        <v>1.1000000000000001</v>
      </c>
      <c r="H33" s="404" t="s">
        <v>1382</v>
      </c>
      <c r="I33" s="405"/>
    </row>
    <row r="34" spans="1:9" s="23" customFormat="1" ht="18.75">
      <c r="A34" s="337" t="s">
        <v>1679</v>
      </c>
      <c r="B34" s="205" t="s">
        <v>214</v>
      </c>
      <c r="C34" s="25" t="s">
        <v>230</v>
      </c>
      <c r="D34" s="25" t="s">
        <v>231</v>
      </c>
      <c r="E34" s="25" t="s">
        <v>232</v>
      </c>
      <c r="F34" s="25" t="s">
        <v>233</v>
      </c>
      <c r="G34" s="26">
        <f>G33*G32/G31</f>
        <v>493.61019182918727</v>
      </c>
      <c r="H34" s="431" t="s">
        <v>1087</v>
      </c>
      <c r="I34" s="431"/>
    </row>
    <row r="35" spans="1:9" s="23" customFormat="1" ht="14.25">
      <c r="B35" s="22" t="s">
        <v>1085</v>
      </c>
    </row>
    <row r="36" spans="1:9" s="23" customFormat="1" ht="15" customHeight="1">
      <c r="B36" s="205" t="s">
        <v>132</v>
      </c>
      <c r="C36" s="25" t="s">
        <v>174</v>
      </c>
      <c r="D36" s="25" t="s">
        <v>175</v>
      </c>
      <c r="E36" s="25" t="s">
        <v>176</v>
      </c>
      <c r="F36" s="25" t="s">
        <v>177</v>
      </c>
      <c r="G36" s="205" t="s">
        <v>178</v>
      </c>
    </row>
    <row r="37" spans="1:9" s="23" customFormat="1" ht="14.25">
      <c r="A37" s="369" t="s">
        <v>1607</v>
      </c>
      <c r="B37" s="205" t="s">
        <v>136</v>
      </c>
      <c r="C37" s="27" t="s">
        <v>1099</v>
      </c>
      <c r="D37" s="25" t="s">
        <v>135</v>
      </c>
      <c r="E37" s="25" t="s">
        <v>134</v>
      </c>
      <c r="F37" s="25" t="s">
        <v>180</v>
      </c>
      <c r="G37" s="25">
        <f>H16</f>
        <v>20</v>
      </c>
    </row>
    <row r="38" spans="1:9" s="23" customFormat="1" ht="18.75">
      <c r="A38" s="368" t="s">
        <v>1678</v>
      </c>
      <c r="B38" s="205" t="s">
        <v>140</v>
      </c>
      <c r="C38" s="25" t="s">
        <v>1082</v>
      </c>
      <c r="D38" s="28" t="s">
        <v>1083</v>
      </c>
      <c r="E38" s="28" t="s">
        <v>142</v>
      </c>
      <c r="F38" s="253" t="s">
        <v>1743</v>
      </c>
      <c r="G38" s="305">
        <v>5500</v>
      </c>
    </row>
    <row r="39" spans="1:9" s="23" customFormat="1" ht="18.75">
      <c r="A39" s="368" t="s">
        <v>1678</v>
      </c>
      <c r="B39" s="205" t="s">
        <v>144</v>
      </c>
      <c r="C39" s="25" t="s">
        <v>1081</v>
      </c>
      <c r="D39" s="28" t="s">
        <v>1084</v>
      </c>
      <c r="E39" s="28" t="s">
        <v>142</v>
      </c>
      <c r="F39" s="253" t="s">
        <v>1740</v>
      </c>
      <c r="G39" s="305">
        <v>1500</v>
      </c>
    </row>
    <row r="40" spans="1:9" s="23" customFormat="1" ht="18.75">
      <c r="A40" s="339" t="s">
        <v>1677</v>
      </c>
      <c r="B40" s="205" t="s">
        <v>148</v>
      </c>
      <c r="C40" s="25" t="s">
        <v>141</v>
      </c>
      <c r="D40" s="28" t="s">
        <v>150</v>
      </c>
      <c r="E40" s="28" t="s">
        <v>142</v>
      </c>
      <c r="F40" s="25"/>
      <c r="G40" s="25">
        <f>锅炉计算!G43*1000</f>
        <v>86755</v>
      </c>
    </row>
    <row r="41" spans="1:9" s="23" customFormat="1" ht="14.25">
      <c r="A41" s="339" t="s">
        <v>1744</v>
      </c>
      <c r="B41" s="205" t="s">
        <v>151</v>
      </c>
      <c r="C41" s="27" t="s">
        <v>184</v>
      </c>
      <c r="D41" s="28" t="s">
        <v>185</v>
      </c>
      <c r="E41" s="28" t="s">
        <v>138</v>
      </c>
      <c r="F41" s="254"/>
      <c r="G41" s="30">
        <f>H18</f>
        <v>71506.670668517225</v>
      </c>
    </row>
    <row r="42" spans="1:9" s="23" customFormat="1" ht="18.75">
      <c r="A42" s="369" t="s">
        <v>1607</v>
      </c>
      <c r="B42" s="205" t="s">
        <v>188</v>
      </c>
      <c r="C42" s="27" t="s">
        <v>1098</v>
      </c>
      <c r="D42" s="28" t="s">
        <v>186</v>
      </c>
      <c r="E42" s="25" t="s">
        <v>134</v>
      </c>
      <c r="F42" s="254" t="s">
        <v>1100</v>
      </c>
      <c r="G42" s="27">
        <v>20</v>
      </c>
    </row>
    <row r="43" spans="1:9" s="23" customFormat="1" ht="18.75">
      <c r="A43" s="492" t="s">
        <v>1375</v>
      </c>
      <c r="B43" s="205" t="s">
        <v>193</v>
      </c>
      <c r="C43" s="25" t="s">
        <v>189</v>
      </c>
      <c r="D43" s="28" t="s">
        <v>190</v>
      </c>
      <c r="E43" s="28" t="s">
        <v>142</v>
      </c>
      <c r="F43" s="28" t="s">
        <v>1110</v>
      </c>
      <c r="G43" s="31">
        <f>G38+G39*(101325/G40)</f>
        <v>7251.9163160624748</v>
      </c>
    </row>
    <row r="44" spans="1:9" s="23" customFormat="1" ht="18.75">
      <c r="A44" s="337" t="s">
        <v>1679</v>
      </c>
      <c r="B44" s="205" t="s">
        <v>196</v>
      </c>
      <c r="C44" s="25" t="s">
        <v>194</v>
      </c>
      <c r="D44" s="28" t="s">
        <v>195</v>
      </c>
      <c r="E44" s="25"/>
      <c r="F44" s="287" t="s">
        <v>1379</v>
      </c>
      <c r="G44" s="32">
        <f>G43*1.2</f>
        <v>8702.2995792749698</v>
      </c>
    </row>
    <row r="45" spans="1:9" s="23" customFormat="1" ht="18.75">
      <c r="A45" s="337" t="s">
        <v>1679</v>
      </c>
      <c r="B45" s="205" t="s">
        <v>200</v>
      </c>
      <c r="C45" s="25" t="s">
        <v>197</v>
      </c>
      <c r="D45" s="28" t="s">
        <v>198</v>
      </c>
      <c r="E45" s="28" t="s">
        <v>138</v>
      </c>
      <c r="F45" s="287" t="s">
        <v>1378</v>
      </c>
      <c r="G45" s="26">
        <f>G41*1.3</f>
        <v>92958.671869072394</v>
      </c>
      <c r="H45" s="23">
        <f>G45/3600</f>
        <v>25.821853296964555</v>
      </c>
    </row>
    <row r="46" spans="1:9" s="23" customFormat="1" ht="14.25">
      <c r="A46" s="368" t="s">
        <v>1678</v>
      </c>
      <c r="B46" s="205" t="s">
        <v>201</v>
      </c>
      <c r="C46" s="25" t="s">
        <v>216</v>
      </c>
      <c r="D46" s="25" t="s">
        <v>202</v>
      </c>
      <c r="E46" s="25"/>
      <c r="F46" s="25" t="s">
        <v>1745</v>
      </c>
      <c r="G46" s="34">
        <v>0.85</v>
      </c>
    </row>
    <row r="47" spans="1:9" s="23" customFormat="1" ht="18.75">
      <c r="A47" s="368" t="s">
        <v>1678</v>
      </c>
      <c r="B47" s="205" t="s">
        <v>203</v>
      </c>
      <c r="C47" s="25" t="s">
        <v>204</v>
      </c>
      <c r="D47" s="25" t="s">
        <v>205</v>
      </c>
      <c r="E47" s="25"/>
      <c r="F47" s="25" t="s">
        <v>1742</v>
      </c>
      <c r="G47" s="33">
        <v>0.95</v>
      </c>
    </row>
    <row r="48" spans="1:9" s="23" customFormat="1" ht="18.75">
      <c r="A48" s="337" t="s">
        <v>1679</v>
      </c>
      <c r="B48" s="205" t="s">
        <v>206</v>
      </c>
      <c r="C48" s="25" t="s">
        <v>207</v>
      </c>
      <c r="D48" s="28" t="s">
        <v>208</v>
      </c>
      <c r="E48" s="25" t="s">
        <v>209</v>
      </c>
      <c r="F48" s="25" t="s">
        <v>210</v>
      </c>
      <c r="G48" s="144">
        <f>G44*G45/G46/3600/1000</f>
        <v>264.36412127326429</v>
      </c>
    </row>
    <row r="49" spans="1:9" s="23" customFormat="1" ht="14.25">
      <c r="A49" s="369" t="s">
        <v>1607</v>
      </c>
      <c r="B49" s="205" t="s">
        <v>211</v>
      </c>
      <c r="C49" s="25" t="s">
        <v>212</v>
      </c>
      <c r="D49" s="25" t="s">
        <v>213</v>
      </c>
      <c r="E49" s="25"/>
      <c r="F49" s="25"/>
      <c r="G49" s="34">
        <v>1.1000000000000001</v>
      </c>
      <c r="H49" s="404" t="s">
        <v>1382</v>
      </c>
      <c r="I49" s="405"/>
    </row>
    <row r="50" spans="1:9" s="23" customFormat="1" ht="18.75">
      <c r="A50" s="337" t="s">
        <v>1679</v>
      </c>
      <c r="B50" s="205" t="s">
        <v>214</v>
      </c>
      <c r="C50" s="25" t="s">
        <v>217</v>
      </c>
      <c r="D50" s="25" t="s">
        <v>218</v>
      </c>
      <c r="E50" s="25" t="s">
        <v>209</v>
      </c>
      <c r="F50" s="25" t="s">
        <v>219</v>
      </c>
      <c r="G50" s="26">
        <f>G49*G48/G47</f>
        <v>306.10582463220078</v>
      </c>
      <c r="H50" s="431" t="s">
        <v>1109</v>
      </c>
      <c r="I50" s="431"/>
    </row>
    <row r="51" spans="1:9" s="23" customFormat="1" ht="14.25">
      <c r="B51" s="22" t="s">
        <v>1086</v>
      </c>
    </row>
    <row r="52" spans="1:9" s="23" customFormat="1" ht="15" customHeight="1">
      <c r="B52" s="205" t="s">
        <v>132</v>
      </c>
      <c r="C52" s="25" t="s">
        <v>174</v>
      </c>
      <c r="D52" s="25" t="s">
        <v>175</v>
      </c>
      <c r="E52" s="25" t="s">
        <v>176</v>
      </c>
      <c r="F52" s="25" t="s">
        <v>177</v>
      </c>
      <c r="G52" s="205" t="s">
        <v>178</v>
      </c>
    </row>
    <row r="53" spans="1:9" s="23" customFormat="1" ht="14.25">
      <c r="A53" s="339" t="s">
        <v>1746</v>
      </c>
      <c r="B53" s="205" t="s">
        <v>136</v>
      </c>
      <c r="C53" s="27" t="s">
        <v>1101</v>
      </c>
      <c r="D53" s="25" t="s">
        <v>135</v>
      </c>
      <c r="E53" s="25" t="s">
        <v>134</v>
      </c>
      <c r="F53" s="25" t="s">
        <v>180</v>
      </c>
      <c r="G53" s="256">
        <f>I16</f>
        <v>160</v>
      </c>
    </row>
    <row r="54" spans="1:9" s="23" customFormat="1" ht="18.75">
      <c r="A54" s="368" t="s">
        <v>1678</v>
      </c>
      <c r="B54" s="205" t="s">
        <v>140</v>
      </c>
      <c r="C54" s="25" t="s">
        <v>1088</v>
      </c>
      <c r="D54" s="28" t="s">
        <v>1083</v>
      </c>
      <c r="E54" s="28" t="s">
        <v>142</v>
      </c>
      <c r="F54" s="253" t="s">
        <v>1747</v>
      </c>
      <c r="G54" s="305">
        <v>2480</v>
      </c>
    </row>
    <row r="55" spans="1:9" s="23" customFormat="1" ht="18.75">
      <c r="A55" s="368" t="s">
        <v>1678</v>
      </c>
      <c r="B55" s="205" t="s">
        <v>144</v>
      </c>
      <c r="C55" s="25" t="s">
        <v>1089</v>
      </c>
      <c r="D55" s="28" t="s">
        <v>1090</v>
      </c>
      <c r="E55" s="28" t="s">
        <v>142</v>
      </c>
      <c r="F55" s="253" t="s">
        <v>1748</v>
      </c>
      <c r="G55" s="305">
        <v>600</v>
      </c>
    </row>
    <row r="56" spans="1:9" s="23" customFormat="1">
      <c r="A56" s="368" t="s">
        <v>1678</v>
      </c>
      <c r="B56" s="205" t="s">
        <v>148</v>
      </c>
      <c r="C56" s="25" t="s">
        <v>1091</v>
      </c>
      <c r="D56" s="28" t="s">
        <v>1092</v>
      </c>
      <c r="E56" s="28" t="s">
        <v>1093</v>
      </c>
      <c r="F56" s="253" t="s">
        <v>1749</v>
      </c>
      <c r="G56" s="305">
        <v>1200</v>
      </c>
    </row>
    <row r="57" spans="1:9" s="23" customFormat="1" ht="18.75">
      <c r="A57" s="368" t="s">
        <v>1678</v>
      </c>
      <c r="B57" s="205" t="s">
        <v>151</v>
      </c>
      <c r="C57" s="25" t="s">
        <v>1081</v>
      </c>
      <c r="D57" s="28" t="s">
        <v>1084</v>
      </c>
      <c r="E57" s="28" t="s">
        <v>1096</v>
      </c>
      <c r="F57" s="253" t="s">
        <v>1750</v>
      </c>
      <c r="G57" s="305">
        <v>500</v>
      </c>
    </row>
    <row r="58" spans="1:9" s="23" customFormat="1">
      <c r="A58" s="368" t="s">
        <v>1678</v>
      </c>
      <c r="B58" s="205" t="s">
        <v>188</v>
      </c>
      <c r="C58" s="25" t="s">
        <v>1094</v>
      </c>
      <c r="D58" s="28" t="s">
        <v>1095</v>
      </c>
      <c r="E58" s="28" t="s">
        <v>161</v>
      </c>
      <c r="F58" s="253" t="s">
        <v>1751</v>
      </c>
      <c r="G58" s="305">
        <v>3000</v>
      </c>
    </row>
    <row r="59" spans="1:9" s="23" customFormat="1" ht="18.75">
      <c r="A59" s="339" t="s">
        <v>1677</v>
      </c>
      <c r="B59" s="205" t="s">
        <v>193</v>
      </c>
      <c r="C59" s="25" t="s">
        <v>141</v>
      </c>
      <c r="D59" s="28" t="s">
        <v>150</v>
      </c>
      <c r="E59" s="28" t="s">
        <v>142</v>
      </c>
      <c r="F59" s="25"/>
      <c r="G59" s="25">
        <f>锅炉计算!G43*1000</f>
        <v>86755</v>
      </c>
    </row>
    <row r="60" spans="1:9" s="23" customFormat="1" ht="14.25">
      <c r="A60" s="492" t="s">
        <v>1375</v>
      </c>
      <c r="B60" s="205" t="s">
        <v>196</v>
      </c>
      <c r="C60" s="27" t="s">
        <v>184</v>
      </c>
      <c r="D60" s="28" t="s">
        <v>185</v>
      </c>
      <c r="E60" s="28" t="s">
        <v>138</v>
      </c>
      <c r="F60" s="254"/>
      <c r="G60" s="30">
        <f>I18/2</f>
        <v>151985.54504130912</v>
      </c>
    </row>
    <row r="61" spans="1:9" s="23" customFormat="1" ht="18.75">
      <c r="A61" s="369" t="s">
        <v>1607</v>
      </c>
      <c r="B61" s="205" t="s">
        <v>200</v>
      </c>
      <c r="C61" s="27" t="s">
        <v>1098</v>
      </c>
      <c r="D61" s="28" t="s">
        <v>186</v>
      </c>
      <c r="E61" s="25" t="s">
        <v>134</v>
      </c>
      <c r="F61" s="254" t="s">
        <v>1102</v>
      </c>
      <c r="G61" s="255">
        <v>250</v>
      </c>
    </row>
    <row r="62" spans="1:9" s="23" customFormat="1" ht="18.75">
      <c r="A62" s="492" t="s">
        <v>1375</v>
      </c>
      <c r="B62" s="205" t="s">
        <v>201</v>
      </c>
      <c r="C62" s="25" t="s">
        <v>189</v>
      </c>
      <c r="D62" s="28" t="s">
        <v>190</v>
      </c>
      <c r="E62" s="28" t="s">
        <v>142</v>
      </c>
      <c r="F62" s="28" t="s">
        <v>192</v>
      </c>
      <c r="G62" s="31">
        <f>G54+(G57+G55+G56+G58)*(101325/G59)</f>
        <v>8670.1043167540774</v>
      </c>
    </row>
    <row r="63" spans="1:9" s="23" customFormat="1" ht="18.75">
      <c r="A63" s="337" t="s">
        <v>1679</v>
      </c>
      <c r="B63" s="205" t="s">
        <v>203</v>
      </c>
      <c r="C63" s="25" t="s">
        <v>194</v>
      </c>
      <c r="D63" s="28" t="s">
        <v>195</v>
      </c>
      <c r="E63" s="25"/>
      <c r="F63" s="287" t="s">
        <v>1379</v>
      </c>
      <c r="G63" s="32">
        <f>G62*1.2</f>
        <v>10404.125180104893</v>
      </c>
    </row>
    <row r="64" spans="1:9" s="23" customFormat="1" ht="18.75">
      <c r="A64" s="337" t="s">
        <v>1679</v>
      </c>
      <c r="B64" s="205" t="s">
        <v>206</v>
      </c>
      <c r="C64" s="25" t="s">
        <v>197</v>
      </c>
      <c r="D64" s="28" t="s">
        <v>198</v>
      </c>
      <c r="E64" s="28" t="s">
        <v>138</v>
      </c>
      <c r="F64" s="287" t="s">
        <v>1381</v>
      </c>
      <c r="G64" s="26">
        <f>G60*1.1</f>
        <v>167184.09954544005</v>
      </c>
    </row>
    <row r="65" spans="1:9" s="23" customFormat="1" ht="14.25">
      <c r="A65" s="368" t="s">
        <v>1678</v>
      </c>
      <c r="B65" s="205" t="s">
        <v>211</v>
      </c>
      <c r="C65" s="25" t="s">
        <v>216</v>
      </c>
      <c r="D65" s="25" t="s">
        <v>202</v>
      </c>
      <c r="E65" s="25"/>
      <c r="F65" s="25" t="s">
        <v>1745</v>
      </c>
      <c r="G65" s="34">
        <v>0.85</v>
      </c>
    </row>
    <row r="66" spans="1:9" s="23" customFormat="1" ht="18.75">
      <c r="A66" s="368" t="s">
        <v>1678</v>
      </c>
      <c r="B66" s="205" t="s">
        <v>214</v>
      </c>
      <c r="C66" s="25" t="s">
        <v>204</v>
      </c>
      <c r="D66" s="25" t="s">
        <v>205</v>
      </c>
      <c r="E66" s="25"/>
      <c r="F66" s="25" t="s">
        <v>1742</v>
      </c>
      <c r="G66" s="33">
        <v>0.95</v>
      </c>
    </row>
    <row r="67" spans="1:9" s="23" customFormat="1" ht="18.75">
      <c r="A67" s="337" t="s">
        <v>1679</v>
      </c>
      <c r="B67" s="205" t="s">
        <v>215</v>
      </c>
      <c r="C67" s="25" t="s">
        <v>207</v>
      </c>
      <c r="D67" s="28" t="s">
        <v>208</v>
      </c>
      <c r="E67" s="25" t="s">
        <v>209</v>
      </c>
      <c r="F67" s="25" t="s">
        <v>210</v>
      </c>
      <c r="G67" s="144">
        <f>G63*G64/G65/3600/1000</f>
        <v>568.43277771041699</v>
      </c>
    </row>
    <row r="68" spans="1:9" s="23" customFormat="1" ht="14.25">
      <c r="A68" s="369" t="s">
        <v>1607</v>
      </c>
      <c r="B68" s="205" t="s">
        <v>741</v>
      </c>
      <c r="C68" s="25" t="s">
        <v>212</v>
      </c>
      <c r="D68" s="25" t="s">
        <v>213</v>
      </c>
      <c r="E68" s="25"/>
      <c r="F68" s="25"/>
      <c r="G68" s="34">
        <v>1.1000000000000001</v>
      </c>
      <c r="H68" s="404" t="s">
        <v>1382</v>
      </c>
      <c r="I68" s="405"/>
    </row>
    <row r="69" spans="1:9" s="23" customFormat="1" ht="18.75">
      <c r="A69" s="337" t="s">
        <v>1679</v>
      </c>
      <c r="B69" s="205" t="s">
        <v>744</v>
      </c>
      <c r="C69" s="25" t="s">
        <v>217</v>
      </c>
      <c r="D69" s="25" t="s">
        <v>218</v>
      </c>
      <c r="E69" s="25" t="s">
        <v>209</v>
      </c>
      <c r="F69" s="25" t="s">
        <v>219</v>
      </c>
      <c r="G69" s="26">
        <f>G68*G67/G66</f>
        <v>658.18532155943024</v>
      </c>
      <c r="H69" s="431" t="s">
        <v>1108</v>
      </c>
      <c r="I69" s="431"/>
    </row>
    <row r="70" spans="1:9" ht="14.25">
      <c r="B70" s="22" t="s">
        <v>1103</v>
      </c>
      <c r="C70" s="23"/>
      <c r="D70" s="23"/>
      <c r="E70" s="23"/>
      <c r="F70" s="23"/>
      <c r="G70" s="23"/>
      <c r="H70" s="23"/>
      <c r="I70" s="23"/>
    </row>
    <row r="71" spans="1:9">
      <c r="B71" s="205" t="s">
        <v>132</v>
      </c>
      <c r="C71" s="25" t="s">
        <v>174</v>
      </c>
      <c r="D71" s="25" t="s">
        <v>175</v>
      </c>
      <c r="E71" s="25" t="s">
        <v>176</v>
      </c>
      <c r="F71" s="25" t="s">
        <v>177</v>
      </c>
      <c r="G71" s="205" t="s">
        <v>178</v>
      </c>
      <c r="H71" s="23"/>
      <c r="I71" s="23"/>
    </row>
    <row r="72" spans="1:9" ht="14.25">
      <c r="A72" s="369" t="s">
        <v>1607</v>
      </c>
      <c r="B72" s="205" t="s">
        <v>136</v>
      </c>
      <c r="C72" s="27" t="s">
        <v>1099</v>
      </c>
      <c r="D72" s="25" t="s">
        <v>135</v>
      </c>
      <c r="E72" s="25" t="s">
        <v>134</v>
      </c>
      <c r="F72" s="25" t="s">
        <v>180</v>
      </c>
      <c r="G72" s="25">
        <v>20</v>
      </c>
      <c r="H72" s="23"/>
      <c r="I72" s="23"/>
    </row>
    <row r="73" spans="1:9" ht="18.75">
      <c r="A73" s="368" t="s">
        <v>1678</v>
      </c>
      <c r="B73" s="312" t="s">
        <v>1376</v>
      </c>
      <c r="C73" s="25" t="s">
        <v>1104</v>
      </c>
      <c r="D73" s="28" t="s">
        <v>1083</v>
      </c>
      <c r="E73" s="28" t="s">
        <v>1096</v>
      </c>
      <c r="F73" s="253" t="s">
        <v>1752</v>
      </c>
      <c r="G73" s="305">
        <v>25000</v>
      </c>
      <c r="H73" s="23"/>
      <c r="I73" s="23"/>
    </row>
    <row r="74" spans="1:9">
      <c r="A74" s="368" t="s">
        <v>1678</v>
      </c>
      <c r="B74" s="312" t="s">
        <v>1377</v>
      </c>
      <c r="C74" s="25" t="s">
        <v>1105</v>
      </c>
      <c r="D74" s="28" t="s">
        <v>1106</v>
      </c>
      <c r="E74" s="28" t="s">
        <v>1097</v>
      </c>
      <c r="F74" s="253" t="s">
        <v>1753</v>
      </c>
      <c r="G74" s="305">
        <v>500</v>
      </c>
      <c r="H74" s="23"/>
      <c r="I74" s="23"/>
    </row>
    <row r="75" spans="1:9" ht="18.75">
      <c r="A75" s="339" t="s">
        <v>1677</v>
      </c>
      <c r="B75" s="205" t="s">
        <v>148</v>
      </c>
      <c r="C75" s="25" t="s">
        <v>141</v>
      </c>
      <c r="D75" s="28" t="s">
        <v>150</v>
      </c>
      <c r="E75" s="28" t="s">
        <v>142</v>
      </c>
      <c r="F75" s="25"/>
      <c r="G75" s="25">
        <f>锅炉计算!G43*1000</f>
        <v>86755</v>
      </c>
      <c r="H75" s="23"/>
      <c r="I75" s="23"/>
    </row>
    <row r="76" spans="1:9" ht="14.25">
      <c r="A76" s="368" t="s">
        <v>1606</v>
      </c>
      <c r="B76" s="205" t="s">
        <v>151</v>
      </c>
      <c r="C76" s="27" t="s">
        <v>184</v>
      </c>
      <c r="D76" s="28" t="s">
        <v>185</v>
      </c>
      <c r="E76" s="28" t="s">
        <v>138</v>
      </c>
      <c r="F76" s="254" t="s">
        <v>1754</v>
      </c>
      <c r="G76" s="331">
        <v>950</v>
      </c>
      <c r="H76" s="23"/>
      <c r="I76" s="23"/>
    </row>
    <row r="77" spans="1:9" ht="18.75">
      <c r="A77" s="369" t="s">
        <v>1607</v>
      </c>
      <c r="B77" s="205" t="s">
        <v>188</v>
      </c>
      <c r="C77" s="27" t="s">
        <v>1098</v>
      </c>
      <c r="D77" s="28" t="s">
        <v>186</v>
      </c>
      <c r="E77" s="25" t="s">
        <v>134</v>
      </c>
      <c r="F77" s="254" t="s">
        <v>1100</v>
      </c>
      <c r="G77" s="27">
        <v>20</v>
      </c>
      <c r="H77" s="23"/>
      <c r="I77" s="23"/>
    </row>
    <row r="78" spans="1:9" ht="18.75">
      <c r="A78" s="492" t="s">
        <v>1375</v>
      </c>
      <c r="B78" s="205" t="s">
        <v>193</v>
      </c>
      <c r="C78" s="25" t="s">
        <v>189</v>
      </c>
      <c r="D78" s="28" t="s">
        <v>190</v>
      </c>
      <c r="E78" s="28" t="s">
        <v>142</v>
      </c>
      <c r="F78" s="28" t="s">
        <v>192</v>
      </c>
      <c r="G78" s="31">
        <f>G73+G74*(101325/G75)</f>
        <v>25583.972105354158</v>
      </c>
      <c r="H78" s="23"/>
      <c r="I78" s="23"/>
    </row>
    <row r="79" spans="1:9" ht="18.75">
      <c r="A79" s="337" t="s">
        <v>1679</v>
      </c>
      <c r="B79" s="205" t="s">
        <v>196</v>
      </c>
      <c r="C79" s="25" t="s">
        <v>194</v>
      </c>
      <c r="D79" s="28" t="s">
        <v>195</v>
      </c>
      <c r="E79" s="25"/>
      <c r="F79" s="287" t="s">
        <v>1379</v>
      </c>
      <c r="G79" s="32">
        <f>G78*1.2</f>
        <v>30700.766526424988</v>
      </c>
      <c r="H79" s="23"/>
      <c r="I79" s="23"/>
    </row>
    <row r="80" spans="1:9" ht="18.75">
      <c r="A80" s="337" t="s">
        <v>1679</v>
      </c>
      <c r="B80" s="205" t="s">
        <v>200</v>
      </c>
      <c r="C80" s="25" t="s">
        <v>197</v>
      </c>
      <c r="D80" s="28" t="s">
        <v>198</v>
      </c>
      <c r="E80" s="28" t="s">
        <v>138</v>
      </c>
      <c r="F80" s="287" t="s">
        <v>1380</v>
      </c>
      <c r="G80" s="26">
        <f>G76*1.3</f>
        <v>1235</v>
      </c>
      <c r="H80" s="23"/>
      <c r="I80" s="23"/>
    </row>
    <row r="81" spans="1:9" ht="14.25">
      <c r="A81" s="368" t="s">
        <v>1678</v>
      </c>
      <c r="B81" s="205" t="s">
        <v>201</v>
      </c>
      <c r="C81" s="25" t="s">
        <v>216</v>
      </c>
      <c r="D81" s="25" t="s">
        <v>202</v>
      </c>
      <c r="E81" s="25"/>
      <c r="F81" s="25"/>
      <c r="G81" s="34">
        <v>0.75</v>
      </c>
      <c r="H81" s="23"/>
      <c r="I81" s="23"/>
    </row>
    <row r="82" spans="1:9" ht="18.75">
      <c r="A82" s="368" t="s">
        <v>1678</v>
      </c>
      <c r="B82" s="205" t="s">
        <v>203</v>
      </c>
      <c r="C82" s="25" t="s">
        <v>204</v>
      </c>
      <c r="D82" s="25" t="s">
        <v>205</v>
      </c>
      <c r="E82" s="25"/>
      <c r="F82" s="25"/>
      <c r="G82" s="33">
        <v>0.95</v>
      </c>
      <c r="H82" s="23"/>
      <c r="I82" s="23"/>
    </row>
    <row r="83" spans="1:9" ht="18.75">
      <c r="A83" s="337" t="s">
        <v>1679</v>
      </c>
      <c r="B83" s="205" t="s">
        <v>206</v>
      </c>
      <c r="C83" s="25" t="s">
        <v>207</v>
      </c>
      <c r="D83" s="28" t="s">
        <v>208</v>
      </c>
      <c r="E83" s="25" t="s">
        <v>209</v>
      </c>
      <c r="F83" s="25" t="s">
        <v>210</v>
      </c>
      <c r="G83" s="144">
        <f>G79*G80/G81/3600/1000</f>
        <v>14.042758022272171</v>
      </c>
      <c r="H83" s="23"/>
      <c r="I83" s="23"/>
    </row>
    <row r="84" spans="1:9" ht="14.25">
      <c r="A84" s="369" t="s">
        <v>1607</v>
      </c>
      <c r="B84" s="205" t="s">
        <v>211</v>
      </c>
      <c r="C84" s="25" t="s">
        <v>212</v>
      </c>
      <c r="D84" s="25" t="s">
        <v>213</v>
      </c>
      <c r="E84" s="25"/>
      <c r="F84" s="25"/>
      <c r="G84" s="34">
        <v>1.1000000000000001</v>
      </c>
      <c r="H84" s="432" t="s">
        <v>1382</v>
      </c>
      <c r="I84" s="432"/>
    </row>
    <row r="85" spans="1:9" ht="18.75">
      <c r="A85" s="337" t="s">
        <v>1679</v>
      </c>
      <c r="B85" s="205" t="s">
        <v>214</v>
      </c>
      <c r="C85" s="25" t="s">
        <v>217</v>
      </c>
      <c r="D85" s="25" t="s">
        <v>218</v>
      </c>
      <c r="E85" s="25" t="s">
        <v>209</v>
      </c>
      <c r="F85" s="25" t="s">
        <v>219</v>
      </c>
      <c r="G85" s="26">
        <f>G84*G83/G82</f>
        <v>16.260035604736199</v>
      </c>
      <c r="H85" s="431" t="s">
        <v>1107</v>
      </c>
      <c r="I85" s="431"/>
    </row>
  </sheetData>
  <mergeCells count="11">
    <mergeCell ref="M1:R1"/>
    <mergeCell ref="O14:R14"/>
    <mergeCell ref="O30:R30"/>
    <mergeCell ref="H85:I85"/>
    <mergeCell ref="H34:I34"/>
    <mergeCell ref="H50:I50"/>
    <mergeCell ref="H69:I69"/>
    <mergeCell ref="H84:I84"/>
    <mergeCell ref="H68:I68"/>
    <mergeCell ref="H49:I49"/>
    <mergeCell ref="H33:I33"/>
  </mergeCells>
  <phoneticPr fontId="14" type="noConversion"/>
  <pageMargins left="0.7" right="0.7" top="0.75" bottom="0.75" header="0.3" footer="0.3"/>
  <pageSetup paperSize="9"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sheetPr>
    <tabColor rgb="FF00B050"/>
  </sheetPr>
  <dimension ref="A1:G32"/>
  <sheetViews>
    <sheetView tabSelected="1" topLeftCell="A16" workbookViewId="0">
      <selection activeCell="F31" sqref="F31"/>
    </sheetView>
  </sheetViews>
  <sheetFormatPr defaultRowHeight="13.5"/>
  <cols>
    <col min="1" max="1" width="26.625" customWidth="1"/>
    <col min="3" max="3" width="22" customWidth="1"/>
    <col min="4" max="4" width="31.125" customWidth="1"/>
    <col min="5" max="5" width="33" customWidth="1"/>
    <col min="6" max="6" width="16" customWidth="1"/>
    <col min="7" max="7" width="15.375" customWidth="1"/>
  </cols>
  <sheetData>
    <row r="1" spans="1:7">
      <c r="B1" s="436" t="s">
        <v>1304</v>
      </c>
      <c r="C1" s="436"/>
      <c r="D1" s="436"/>
    </row>
    <row r="2" spans="1:7">
      <c r="B2" s="280" t="s">
        <v>1317</v>
      </c>
      <c r="C2" s="280" t="s">
        <v>1315</v>
      </c>
      <c r="D2" s="280" t="s">
        <v>1316</v>
      </c>
    </row>
    <row r="3" spans="1:7" ht="27">
      <c r="B3" s="299" t="s">
        <v>1358</v>
      </c>
      <c r="C3" s="306" t="s">
        <v>1314</v>
      </c>
      <c r="D3" s="307" t="s">
        <v>1320</v>
      </c>
    </row>
    <row r="4" spans="1:7" ht="27">
      <c r="B4" s="299" t="s">
        <v>1359</v>
      </c>
      <c r="C4" s="307" t="s">
        <v>1318</v>
      </c>
      <c r="D4" s="307" t="s">
        <v>1319</v>
      </c>
    </row>
    <row r="6" spans="1:7">
      <c r="B6" s="436" t="s">
        <v>1352</v>
      </c>
      <c r="C6" s="436"/>
      <c r="D6" s="436"/>
      <c r="E6" s="436"/>
      <c r="F6" s="436"/>
      <c r="G6" s="436"/>
    </row>
    <row r="7" spans="1:7">
      <c r="B7" s="282" t="s">
        <v>1322</v>
      </c>
      <c r="C7" s="282" t="s">
        <v>1323</v>
      </c>
      <c r="D7" s="282" t="s">
        <v>1324</v>
      </c>
      <c r="E7" s="5" t="s">
        <v>41</v>
      </c>
      <c r="F7" s="282" t="s">
        <v>1326</v>
      </c>
      <c r="G7" s="282" t="s">
        <v>1343</v>
      </c>
    </row>
    <row r="8" spans="1:7">
      <c r="A8" s="339" t="s">
        <v>1765</v>
      </c>
      <c r="B8" s="282" t="s">
        <v>1321</v>
      </c>
      <c r="C8" s="282">
        <v>1</v>
      </c>
      <c r="D8" s="282" t="s">
        <v>1327</v>
      </c>
      <c r="E8" s="280" t="s">
        <v>1141</v>
      </c>
      <c r="F8" s="282" t="s">
        <v>1328</v>
      </c>
      <c r="G8" s="282">
        <v>2</v>
      </c>
    </row>
    <row r="9" spans="1:7">
      <c r="A9" s="337" t="s">
        <v>1679</v>
      </c>
      <c r="B9" s="394" t="s">
        <v>1325</v>
      </c>
      <c r="C9" s="394">
        <v>2</v>
      </c>
      <c r="D9" s="282" t="s">
        <v>1355</v>
      </c>
      <c r="E9" s="6" t="s">
        <v>1470</v>
      </c>
      <c r="F9" s="282" t="s">
        <v>1308</v>
      </c>
      <c r="G9" s="115">
        <f>锅炉计算!G16*锅炉计算!G30*0.15/10000/4.1868/1000</f>
        <v>1.3078297428948686</v>
      </c>
    </row>
    <row r="10" spans="1:7">
      <c r="A10" s="339" t="s">
        <v>1766</v>
      </c>
      <c r="B10" s="394"/>
      <c r="C10" s="394"/>
      <c r="D10" s="5" t="s">
        <v>1353</v>
      </c>
      <c r="E10" s="280" t="s">
        <v>1141</v>
      </c>
      <c r="F10" s="5" t="s">
        <v>1354</v>
      </c>
      <c r="G10" s="282">
        <v>2</v>
      </c>
    </row>
    <row r="12" spans="1:7">
      <c r="G12" s="308"/>
    </row>
    <row r="13" spans="1:7">
      <c r="B13" s="435" t="s">
        <v>1332</v>
      </c>
      <c r="C13" s="435"/>
      <c r="D13" s="435"/>
      <c r="E13" s="435"/>
      <c r="F13" s="435"/>
      <c r="G13" s="308"/>
    </row>
    <row r="14" spans="1:7">
      <c r="B14" s="5" t="s">
        <v>1323</v>
      </c>
      <c r="C14" s="280" t="s">
        <v>1329</v>
      </c>
      <c r="D14" s="5" t="s">
        <v>1330</v>
      </c>
      <c r="E14" s="297" t="s">
        <v>1357</v>
      </c>
      <c r="F14" s="5" t="s">
        <v>1331</v>
      </c>
      <c r="G14" s="308"/>
    </row>
    <row r="15" spans="1:7" ht="40.5">
      <c r="B15" s="299" t="s">
        <v>1371</v>
      </c>
      <c r="C15" s="307" t="s">
        <v>1333</v>
      </c>
      <c r="D15" s="5" t="s">
        <v>1468</v>
      </c>
      <c r="E15" s="307" t="s">
        <v>1356</v>
      </c>
      <c r="F15" s="5" t="s">
        <v>1334</v>
      </c>
    </row>
    <row r="17" spans="1:7">
      <c r="G17" s="308"/>
    </row>
    <row r="18" spans="1:7">
      <c r="B18" s="395" t="s">
        <v>1349</v>
      </c>
      <c r="C18" s="434"/>
      <c r="D18" s="434"/>
      <c r="E18" s="434"/>
      <c r="F18" s="396"/>
      <c r="G18" s="308"/>
    </row>
    <row r="19" spans="1:7" ht="32.25" customHeight="1">
      <c r="B19" s="433" t="s">
        <v>1469</v>
      </c>
      <c r="C19" s="433"/>
      <c r="D19" s="433"/>
      <c r="E19" s="433"/>
      <c r="F19" s="433"/>
      <c r="G19" s="308"/>
    </row>
    <row r="20" spans="1:7">
      <c r="B20" s="297" t="s">
        <v>1317</v>
      </c>
      <c r="C20" s="297" t="s">
        <v>1280</v>
      </c>
      <c r="D20" s="297" t="s">
        <v>1342</v>
      </c>
      <c r="E20" s="297" t="s">
        <v>1326</v>
      </c>
      <c r="F20" s="297" t="s">
        <v>1343</v>
      </c>
    </row>
    <row r="21" spans="1:7">
      <c r="A21" s="339" t="s">
        <v>1677</v>
      </c>
      <c r="B21" s="334"/>
      <c r="C21" s="334" t="s">
        <v>1767</v>
      </c>
      <c r="D21" s="334" t="s">
        <v>1769</v>
      </c>
      <c r="E21" s="334" t="s">
        <v>1770</v>
      </c>
      <c r="F21" s="334">
        <f>锅炉计算!G19</f>
        <v>130</v>
      </c>
    </row>
    <row r="22" spans="1:7">
      <c r="A22" s="284" t="s">
        <v>1143</v>
      </c>
      <c r="B22" s="297" t="s">
        <v>1371</v>
      </c>
      <c r="C22" s="297" t="s">
        <v>1335</v>
      </c>
      <c r="D22" s="334" t="s">
        <v>1768</v>
      </c>
      <c r="E22" s="334" t="s">
        <v>45</v>
      </c>
      <c r="F22" s="297">
        <f>锅炉计算!G19*0.03</f>
        <v>3.9</v>
      </c>
    </row>
    <row r="23" spans="1:7">
      <c r="A23" s="284" t="s">
        <v>1143</v>
      </c>
      <c r="B23" s="297" t="s">
        <v>1359</v>
      </c>
      <c r="C23" s="297" t="s">
        <v>1336</v>
      </c>
      <c r="D23" s="297" t="s">
        <v>1345</v>
      </c>
      <c r="E23" s="297" t="s">
        <v>1308</v>
      </c>
      <c r="F23" s="297">
        <f>锅炉计算!G19*0.02</f>
        <v>2.6</v>
      </c>
    </row>
    <row r="24" spans="1:7">
      <c r="A24" s="284" t="s">
        <v>1143</v>
      </c>
      <c r="B24" s="297" t="s">
        <v>1360</v>
      </c>
      <c r="C24" s="297" t="s">
        <v>1337</v>
      </c>
      <c r="D24" s="297" t="s">
        <v>1344</v>
      </c>
      <c r="E24" s="297" t="s">
        <v>1308</v>
      </c>
      <c r="F24" s="297">
        <f>锅炉计算!G19*0.1</f>
        <v>13</v>
      </c>
    </row>
    <row r="25" spans="1:7">
      <c r="A25" s="284" t="s">
        <v>1143</v>
      </c>
      <c r="B25" s="297" t="s">
        <v>1361</v>
      </c>
      <c r="C25" s="297" t="s">
        <v>1338</v>
      </c>
      <c r="D25" s="297" t="s">
        <v>1370</v>
      </c>
      <c r="E25" s="297" t="s">
        <v>1308</v>
      </c>
      <c r="F25" s="284">
        <v>0</v>
      </c>
    </row>
    <row r="26" spans="1:7">
      <c r="A26" s="284" t="s">
        <v>1143</v>
      </c>
      <c r="B26" s="297" t="s">
        <v>1362</v>
      </c>
      <c r="C26" s="297" t="s">
        <v>1339</v>
      </c>
      <c r="D26" s="297" t="s">
        <v>1367</v>
      </c>
      <c r="E26" s="297" t="s">
        <v>1308</v>
      </c>
      <c r="F26" s="297">
        <f>(F22+F23+F25)*0.1</f>
        <v>0.65</v>
      </c>
    </row>
    <row r="27" spans="1:7">
      <c r="A27" s="337" t="s">
        <v>1679</v>
      </c>
      <c r="B27" s="297" t="s">
        <v>1363</v>
      </c>
      <c r="C27" s="297" t="s">
        <v>1340</v>
      </c>
      <c r="D27" s="297" t="s">
        <v>1368</v>
      </c>
      <c r="E27" s="297" t="s">
        <v>1308</v>
      </c>
      <c r="F27" s="297">
        <f>F22+F23+F25+F26</f>
        <v>7.15</v>
      </c>
    </row>
    <row r="28" spans="1:7">
      <c r="A28" s="337" t="s">
        <v>1679</v>
      </c>
      <c r="B28" s="297" t="s">
        <v>1364</v>
      </c>
      <c r="C28" s="297" t="s">
        <v>1341</v>
      </c>
      <c r="D28" s="297" t="s">
        <v>1369</v>
      </c>
      <c r="E28" s="297" t="s">
        <v>1308</v>
      </c>
      <c r="F28" s="297">
        <f>F22+F23+F24+F25+F26</f>
        <v>20.149999999999999</v>
      </c>
    </row>
    <row r="29" spans="1:7">
      <c r="A29" s="364" t="s">
        <v>1350</v>
      </c>
      <c r="B29" s="297" t="s">
        <v>1365</v>
      </c>
      <c r="C29" s="310" t="s">
        <v>1374</v>
      </c>
      <c r="D29" s="297" t="s">
        <v>1348</v>
      </c>
      <c r="E29" s="297" t="s">
        <v>1308</v>
      </c>
      <c r="F29" s="297">
        <f>CEILING(F28,1)</f>
        <v>21</v>
      </c>
    </row>
    <row r="30" spans="1:7">
      <c r="A30" s="364" t="s">
        <v>1351</v>
      </c>
      <c r="B30" s="297" t="s">
        <v>1366</v>
      </c>
      <c r="C30" s="297" t="s">
        <v>1347</v>
      </c>
      <c r="D30" s="314" t="s">
        <v>1471</v>
      </c>
      <c r="E30" s="297" t="s">
        <v>1308</v>
      </c>
      <c r="F30" s="297">
        <f>F29*5</f>
        <v>105</v>
      </c>
    </row>
    <row r="32" spans="1:7" ht="29.25" customHeight="1"/>
  </sheetData>
  <mergeCells count="7">
    <mergeCell ref="B19:F19"/>
    <mergeCell ref="B18:F18"/>
    <mergeCell ref="B13:F13"/>
    <mergeCell ref="B1:D1"/>
    <mergeCell ref="B6:G6"/>
    <mergeCell ref="C9:C10"/>
    <mergeCell ref="B9:B10"/>
  </mergeCells>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vt:i4>
      </vt:variant>
    </vt:vector>
  </HeadingPairs>
  <TitlesOfParts>
    <vt:vector size="11" baseType="lpstr">
      <vt:lpstr>需求调研表</vt:lpstr>
      <vt:lpstr>锅炉计算</vt:lpstr>
      <vt:lpstr>燃料存储及输送系统</vt:lpstr>
      <vt:lpstr>汽轮机计算</vt:lpstr>
      <vt:lpstr>脱硫脱硝系统</vt:lpstr>
      <vt:lpstr>除尘除灰除渣系统</vt:lpstr>
      <vt:lpstr>烟囱</vt:lpstr>
      <vt:lpstr>锅炉辅机</vt:lpstr>
      <vt:lpstr>公用工程</vt:lpstr>
      <vt:lpstr>Sheet3</vt:lpstr>
      <vt:lpstr>烟囱!Print_Area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2017-10-13T04:01:58Z</dcterms:modified>
</cp:coreProperties>
</file>