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llheim/ERPARK_June2008/a_desktop/manuscripts/ScalingMetabToNetworks/FinalModelToShare/"/>
    </mc:Choice>
  </mc:AlternateContent>
  <xr:revisionPtr revIDLastSave="0" documentId="13_ncr:1_{E5AAE7DE-476E-5C46-BB1B-17AA1F0C6F4F}" xr6:coauthVersionLast="47" xr6:coauthVersionMax="47" xr10:uidLastSave="{00000000-0000-0000-0000-000000000000}"/>
  <bookViews>
    <workbookView xWindow="-31520" yWindow="-980" windowWidth="27680" windowHeight="19480" activeTab="1" xr2:uid="{80245FE3-4BDD-4BFC-BA70-A1E1E9EFAC28}"/>
  </bookViews>
  <sheets>
    <sheet name="NetworkGeomorphology" sheetId="1" r:id="rId1"/>
    <sheet name="MAIN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2" l="1"/>
  <c r="G74" i="2"/>
  <c r="J74" i="2"/>
  <c r="G73" i="2"/>
  <c r="J73" i="2"/>
  <c r="N74" i="2"/>
  <c r="G30" i="2"/>
  <c r="G31" i="2"/>
  <c r="P74" i="2"/>
  <c r="G32" i="2"/>
  <c r="Z74" i="2"/>
  <c r="G28" i="2"/>
  <c r="U74" i="2"/>
  <c r="U73" i="2"/>
  <c r="AB74" i="2"/>
  <c r="AD74" i="2"/>
  <c r="F74" i="2"/>
  <c r="AF74" i="2"/>
  <c r="G68" i="2"/>
  <c r="G25" i="2"/>
  <c r="G67" i="2"/>
  <c r="J67" i="2"/>
  <c r="J68" i="2"/>
  <c r="N68" i="2"/>
  <c r="P68" i="2"/>
  <c r="Z68" i="2"/>
  <c r="U67" i="2"/>
  <c r="U68" i="2"/>
  <c r="AB68" i="2"/>
  <c r="AD68" i="2"/>
  <c r="F68" i="2"/>
  <c r="AF68" i="2"/>
  <c r="BO68" i="2"/>
  <c r="Q92" i="2"/>
  <c r="G69" i="2"/>
  <c r="J69" i="2"/>
  <c r="N69" i="2"/>
  <c r="P69" i="2"/>
  <c r="Z69" i="2"/>
  <c r="U69" i="2"/>
  <c r="AB69" i="2"/>
  <c r="AD69" i="2"/>
  <c r="F69" i="2"/>
  <c r="AF69" i="2"/>
  <c r="Q87" i="2"/>
  <c r="BO69" i="2"/>
  <c r="Q97" i="2"/>
  <c r="G70" i="2"/>
  <c r="J70" i="2"/>
  <c r="N70" i="2"/>
  <c r="P70" i="2"/>
  <c r="Z70" i="2"/>
  <c r="U70" i="2"/>
  <c r="AB70" i="2"/>
  <c r="AD70" i="2"/>
  <c r="F70" i="2"/>
  <c r="AF70" i="2"/>
  <c r="Q88" i="2"/>
  <c r="Q93" i="2"/>
  <c r="BO70" i="2"/>
  <c r="Q101" i="2"/>
  <c r="G71" i="2"/>
  <c r="J71" i="2"/>
  <c r="N71" i="2"/>
  <c r="P71" i="2"/>
  <c r="Z71" i="2"/>
  <c r="U71" i="2"/>
  <c r="AB71" i="2"/>
  <c r="AD71" i="2"/>
  <c r="F71" i="2"/>
  <c r="AF71" i="2"/>
  <c r="Q89" i="2"/>
  <c r="Q94" i="2"/>
  <c r="Q98" i="2"/>
  <c r="BO71" i="2"/>
  <c r="Q104" i="2"/>
  <c r="G72" i="2"/>
  <c r="J72" i="2"/>
  <c r="N72" i="2"/>
  <c r="P72" i="2"/>
  <c r="Z72" i="2"/>
  <c r="U72" i="2"/>
  <c r="AB72" i="2"/>
  <c r="AD72" i="2"/>
  <c r="F72" i="2"/>
  <c r="AF72" i="2"/>
  <c r="Q90" i="2"/>
  <c r="Q95" i="2"/>
  <c r="Q99" i="2"/>
  <c r="Q102" i="2"/>
  <c r="BO72" i="2"/>
  <c r="Q106" i="2"/>
  <c r="N73" i="2"/>
  <c r="P73" i="2"/>
  <c r="Z73" i="2"/>
  <c r="AB73" i="2"/>
  <c r="AD73" i="2"/>
  <c r="F73" i="2"/>
  <c r="AF73" i="2"/>
  <c r="Q91" i="2"/>
  <c r="Q96" i="2"/>
  <c r="Q100" i="2"/>
  <c r="Q103" i="2"/>
  <c r="Q105" i="2"/>
  <c r="BO73" i="2"/>
  <c r="Q107" i="2"/>
  <c r="BO74" i="2"/>
  <c r="B91" i="2"/>
  <c r="A91" i="2"/>
  <c r="A101" i="2"/>
  <c r="B101" i="2"/>
  <c r="B90" i="2"/>
  <c r="A90" i="2"/>
  <c r="A100" i="2"/>
  <c r="B100" i="2"/>
  <c r="B89" i="2"/>
  <c r="A89" i="2"/>
  <c r="A99" i="2"/>
  <c r="B99" i="2"/>
  <c r="B88" i="2"/>
  <c r="A88" i="2"/>
  <c r="A98" i="2"/>
  <c r="B98" i="2"/>
  <c r="B87" i="2"/>
  <c r="A87" i="2"/>
  <c r="A97" i="2"/>
  <c r="B97" i="2"/>
  <c r="B86" i="2"/>
  <c r="A86" i="2"/>
  <c r="A96" i="2"/>
  <c r="B96" i="2"/>
  <c r="B85" i="2"/>
  <c r="A85" i="2"/>
  <c r="A95" i="2"/>
  <c r="B95" i="2"/>
  <c r="H68" i="2"/>
  <c r="BG68" i="2"/>
  <c r="AG68" i="2"/>
  <c r="BI68" i="2"/>
  <c r="BM68" i="2"/>
  <c r="G46" i="2"/>
  <c r="G23" i="2"/>
  <c r="G47" i="2"/>
  <c r="AT68" i="2"/>
  <c r="AU68" i="2"/>
  <c r="AU67" i="2"/>
  <c r="AV67" i="2"/>
  <c r="AV68" i="2"/>
  <c r="AX68" i="2"/>
  <c r="AW68" i="2"/>
  <c r="L52" i="2"/>
  <c r="L53" i="2"/>
  <c r="AL68" i="2"/>
  <c r="K68" i="2"/>
  <c r="R68" i="2"/>
  <c r="V68" i="2"/>
  <c r="G36" i="2"/>
  <c r="G37" i="2"/>
  <c r="M68" i="2"/>
  <c r="G38" i="2"/>
  <c r="T68" i="2"/>
  <c r="X68" i="2"/>
  <c r="AI68" i="2"/>
  <c r="AK68" i="2"/>
  <c r="AQ68" i="2"/>
  <c r="AR68" i="2"/>
  <c r="O68" i="2"/>
  <c r="Y68" i="2"/>
  <c r="AC68" i="2"/>
  <c r="Q68" i="2"/>
  <c r="AA68" i="2"/>
  <c r="AE68" i="2"/>
  <c r="AH68" i="2"/>
  <c r="AJ68" i="2"/>
  <c r="AO68" i="2"/>
  <c r="AP68" i="2"/>
  <c r="AY68" i="2"/>
  <c r="AZ68" i="2"/>
  <c r="BB68" i="2"/>
  <c r="BA68" i="2"/>
  <c r="H69" i="2"/>
  <c r="I69" i="2"/>
  <c r="H70" i="2"/>
  <c r="I70" i="2"/>
  <c r="H71" i="2"/>
  <c r="I71" i="2"/>
  <c r="H72" i="2"/>
  <c r="I72" i="2"/>
  <c r="H73" i="2"/>
  <c r="I73" i="2"/>
  <c r="H74" i="2"/>
  <c r="I74" i="2"/>
  <c r="AT69" i="2"/>
  <c r="AU69" i="2"/>
  <c r="AV69" i="2"/>
  <c r="O87" i="2"/>
  <c r="P87" i="2"/>
  <c r="AX69" i="2"/>
  <c r="AL69" i="2"/>
  <c r="K69" i="2"/>
  <c r="R69" i="2"/>
  <c r="V69" i="2"/>
  <c r="M69" i="2"/>
  <c r="T69" i="2"/>
  <c r="X69" i="2"/>
  <c r="AI69" i="2"/>
  <c r="AK69" i="2"/>
  <c r="AQ69" i="2"/>
  <c r="AR69" i="2"/>
  <c r="AW69" i="2"/>
  <c r="O69" i="2"/>
  <c r="Y69" i="2"/>
  <c r="AC69" i="2"/>
  <c r="Q69" i="2"/>
  <c r="AA69" i="2"/>
  <c r="AE69" i="2"/>
  <c r="AH69" i="2"/>
  <c r="AJ69" i="2"/>
  <c r="AO69" i="2"/>
  <c r="AP69" i="2"/>
  <c r="AY69" i="2"/>
  <c r="AT70" i="2"/>
  <c r="AU70" i="2"/>
  <c r="AV70" i="2"/>
  <c r="O88" i="2"/>
  <c r="O93" i="2"/>
  <c r="P93" i="2"/>
  <c r="AX70" i="2"/>
  <c r="AL70" i="2"/>
  <c r="K70" i="2"/>
  <c r="R70" i="2"/>
  <c r="V70" i="2"/>
  <c r="M70" i="2"/>
  <c r="T70" i="2"/>
  <c r="X70" i="2"/>
  <c r="AI70" i="2"/>
  <c r="AK70" i="2"/>
  <c r="AQ70" i="2"/>
  <c r="AR70" i="2"/>
  <c r="AW70" i="2"/>
  <c r="O70" i="2"/>
  <c r="Y70" i="2"/>
  <c r="AC70" i="2"/>
  <c r="Q70" i="2"/>
  <c r="AA70" i="2"/>
  <c r="AE70" i="2"/>
  <c r="AH70" i="2"/>
  <c r="AJ70" i="2"/>
  <c r="AO70" i="2"/>
  <c r="AP70" i="2"/>
  <c r="AY70" i="2"/>
  <c r="AT71" i="2"/>
  <c r="AU71" i="2"/>
  <c r="AV71" i="2"/>
  <c r="O89" i="2"/>
  <c r="O94" i="2"/>
  <c r="O98" i="2"/>
  <c r="P98" i="2"/>
  <c r="AX71" i="2"/>
  <c r="AL71" i="2"/>
  <c r="K71" i="2"/>
  <c r="R71" i="2"/>
  <c r="V71" i="2"/>
  <c r="M71" i="2"/>
  <c r="T71" i="2"/>
  <c r="X71" i="2"/>
  <c r="AI71" i="2"/>
  <c r="AK71" i="2"/>
  <c r="AQ71" i="2"/>
  <c r="AR71" i="2"/>
  <c r="AW71" i="2"/>
  <c r="O71" i="2"/>
  <c r="Y71" i="2"/>
  <c r="AC71" i="2"/>
  <c r="Q71" i="2"/>
  <c r="AA71" i="2"/>
  <c r="AE71" i="2"/>
  <c r="AH71" i="2"/>
  <c r="AJ71" i="2"/>
  <c r="AO71" i="2"/>
  <c r="AP71" i="2"/>
  <c r="AY71" i="2"/>
  <c r="AT72" i="2"/>
  <c r="AU72" i="2"/>
  <c r="AV72" i="2"/>
  <c r="O90" i="2"/>
  <c r="O95" i="2"/>
  <c r="O99" i="2"/>
  <c r="O102" i="2"/>
  <c r="P102" i="2"/>
  <c r="AX72" i="2"/>
  <c r="AL72" i="2"/>
  <c r="M72" i="2"/>
  <c r="T72" i="2"/>
  <c r="X72" i="2"/>
  <c r="AI72" i="2"/>
  <c r="K72" i="2"/>
  <c r="R72" i="2"/>
  <c r="V72" i="2"/>
  <c r="AK72" i="2"/>
  <c r="AQ72" i="2"/>
  <c r="AR72" i="2"/>
  <c r="AW72" i="2"/>
  <c r="Q72" i="2"/>
  <c r="AA72" i="2"/>
  <c r="AE72" i="2"/>
  <c r="AH72" i="2"/>
  <c r="O72" i="2"/>
  <c r="Y72" i="2"/>
  <c r="AC72" i="2"/>
  <c r="AJ72" i="2"/>
  <c r="AO72" i="2"/>
  <c r="AP72" i="2"/>
  <c r="AY72" i="2"/>
  <c r="BE68" i="2"/>
  <c r="G85" i="2"/>
  <c r="G95" i="2"/>
  <c r="G41" i="2"/>
  <c r="F26" i="1"/>
  <c r="F27" i="1"/>
  <c r="D27" i="1"/>
  <c r="F28" i="1"/>
  <c r="F29" i="1"/>
  <c r="F30" i="1"/>
  <c r="F31" i="1"/>
  <c r="F32" i="1"/>
  <c r="E31" i="1"/>
  <c r="E30" i="1"/>
  <c r="E29" i="1"/>
  <c r="E28" i="1"/>
  <c r="E27" i="1"/>
  <c r="E26" i="1"/>
  <c r="H26" i="1"/>
  <c r="I26" i="1"/>
  <c r="K27" i="1"/>
  <c r="L27" i="1"/>
  <c r="K28" i="1"/>
  <c r="L28" i="1"/>
  <c r="K29" i="1"/>
  <c r="L29" i="1"/>
  <c r="K30" i="1"/>
  <c r="L30" i="1"/>
  <c r="K31" i="1"/>
  <c r="L31" i="1"/>
  <c r="K32" i="1"/>
  <c r="L32" i="1"/>
  <c r="I38" i="1"/>
  <c r="I49" i="1"/>
  <c r="I59" i="1"/>
  <c r="D28" i="1"/>
  <c r="J38" i="1"/>
  <c r="J49" i="1"/>
  <c r="J59" i="1"/>
  <c r="H27" i="1"/>
  <c r="I27" i="1"/>
  <c r="J39" i="1"/>
  <c r="J50" i="1"/>
  <c r="J60" i="1"/>
  <c r="D29" i="1"/>
  <c r="K38" i="1"/>
  <c r="K49" i="1"/>
  <c r="K59" i="1"/>
  <c r="K39" i="1"/>
  <c r="K50" i="1"/>
  <c r="K60" i="1"/>
  <c r="H28" i="1"/>
  <c r="I28" i="1"/>
  <c r="K40" i="1"/>
  <c r="K51" i="1"/>
  <c r="K61" i="1"/>
  <c r="D30" i="1"/>
  <c r="L38" i="1"/>
  <c r="L49" i="1"/>
  <c r="L59" i="1"/>
  <c r="L39" i="1"/>
  <c r="L50" i="1"/>
  <c r="L60" i="1"/>
  <c r="L40" i="1"/>
  <c r="L51" i="1"/>
  <c r="L61" i="1"/>
  <c r="H29" i="1"/>
  <c r="I29" i="1"/>
  <c r="L41" i="1"/>
  <c r="L52" i="1"/>
  <c r="L62" i="1"/>
  <c r="D31" i="1"/>
  <c r="M38" i="1"/>
  <c r="M49" i="1"/>
  <c r="M59" i="1"/>
  <c r="M39" i="1"/>
  <c r="M50" i="1"/>
  <c r="M60" i="1"/>
  <c r="M40" i="1"/>
  <c r="M51" i="1"/>
  <c r="M61" i="1"/>
  <c r="M41" i="1"/>
  <c r="M52" i="1"/>
  <c r="M62" i="1"/>
  <c r="H30" i="1"/>
  <c r="I30" i="1"/>
  <c r="M42" i="1"/>
  <c r="M53" i="1"/>
  <c r="M63" i="1"/>
  <c r="D32" i="1"/>
  <c r="N38" i="1"/>
  <c r="N49" i="1"/>
  <c r="N59" i="1"/>
  <c r="N39" i="1"/>
  <c r="N50" i="1"/>
  <c r="N60" i="1"/>
  <c r="N40" i="1"/>
  <c r="N51" i="1"/>
  <c r="N61" i="1"/>
  <c r="N41" i="1"/>
  <c r="N52" i="1"/>
  <c r="N62" i="1"/>
  <c r="N42" i="1"/>
  <c r="N53" i="1"/>
  <c r="N63" i="1"/>
  <c r="H31" i="1"/>
  <c r="I31" i="1"/>
  <c r="N43" i="1"/>
  <c r="N54" i="1"/>
  <c r="N64" i="1"/>
  <c r="P18" i="2"/>
  <c r="AT74" i="2"/>
  <c r="AU74" i="2"/>
  <c r="AV74" i="2"/>
  <c r="R59" i="1"/>
  <c r="S59" i="1"/>
  <c r="T59" i="1"/>
  <c r="U59" i="1"/>
  <c r="V59" i="1"/>
  <c r="W59" i="1"/>
  <c r="X59" i="1"/>
  <c r="AB59" i="1"/>
  <c r="AK59" i="1"/>
  <c r="AC59" i="1"/>
  <c r="S60" i="1"/>
  <c r="T60" i="1"/>
  <c r="U60" i="1"/>
  <c r="V60" i="1"/>
  <c r="W60" i="1"/>
  <c r="X60" i="1"/>
  <c r="AC60" i="1"/>
  <c r="AL60" i="1"/>
  <c r="AD59" i="1"/>
  <c r="AD60" i="1"/>
  <c r="T61" i="1"/>
  <c r="U61" i="1"/>
  <c r="V61" i="1"/>
  <c r="W61" i="1"/>
  <c r="X61" i="1"/>
  <c r="AD61" i="1"/>
  <c r="AM61" i="1"/>
  <c r="AE59" i="1"/>
  <c r="AE60" i="1"/>
  <c r="AE61" i="1"/>
  <c r="U62" i="1"/>
  <c r="V62" i="1"/>
  <c r="W62" i="1"/>
  <c r="X62" i="1"/>
  <c r="AE62" i="1"/>
  <c r="AN62" i="1"/>
  <c r="AT73" i="2"/>
  <c r="AU73" i="2"/>
  <c r="AV73" i="2"/>
  <c r="AF59" i="1"/>
  <c r="O91" i="2"/>
  <c r="AF60" i="1"/>
  <c r="O96" i="2"/>
  <c r="AF61" i="1"/>
  <c r="O100" i="2"/>
  <c r="AF62" i="1"/>
  <c r="O103" i="2"/>
  <c r="V63" i="1"/>
  <c r="W63" i="1"/>
  <c r="X63" i="1"/>
  <c r="AF63" i="1"/>
  <c r="O105" i="2"/>
  <c r="AO63" i="1"/>
  <c r="P105" i="2"/>
  <c r="AX73" i="2"/>
  <c r="M73" i="2"/>
  <c r="T73" i="2"/>
  <c r="X73" i="2"/>
  <c r="AI73" i="2"/>
  <c r="K73" i="2"/>
  <c r="R73" i="2"/>
  <c r="V73" i="2"/>
  <c r="AK73" i="2"/>
  <c r="AL73" i="2"/>
  <c r="AQ73" i="2"/>
  <c r="AR73" i="2"/>
  <c r="AW73" i="2"/>
  <c r="Q73" i="2"/>
  <c r="AA73" i="2"/>
  <c r="AE73" i="2"/>
  <c r="AH73" i="2"/>
  <c r="O73" i="2"/>
  <c r="Y73" i="2"/>
  <c r="AC73" i="2"/>
  <c r="AJ73" i="2"/>
  <c r="AO73" i="2"/>
  <c r="AP73" i="2"/>
  <c r="AY73" i="2"/>
  <c r="AG59" i="1"/>
  <c r="O92" i="2"/>
  <c r="AG60" i="1"/>
  <c r="O97" i="2"/>
  <c r="AG61" i="1"/>
  <c r="O101" i="2"/>
  <c r="AG62" i="1"/>
  <c r="O104" i="2"/>
  <c r="AG63" i="1"/>
  <c r="O106" i="2"/>
  <c r="W64" i="1"/>
  <c r="X64" i="1"/>
  <c r="AG64" i="1"/>
  <c r="O107" i="2"/>
  <c r="AP64" i="1"/>
  <c r="P107" i="2"/>
  <c r="AX74" i="2"/>
  <c r="AW74" i="2"/>
  <c r="M74" i="2"/>
  <c r="T74" i="2"/>
  <c r="X74" i="2"/>
  <c r="AI74" i="2"/>
  <c r="K74" i="2"/>
  <c r="R74" i="2"/>
  <c r="V74" i="2"/>
  <c r="AK74" i="2"/>
  <c r="AL74" i="2"/>
  <c r="AQ74" i="2"/>
  <c r="AR74" i="2"/>
  <c r="Q74" i="2"/>
  <c r="AA74" i="2"/>
  <c r="AE74" i="2"/>
  <c r="AH74" i="2"/>
  <c r="O74" i="2"/>
  <c r="Y74" i="2"/>
  <c r="AC74" i="2"/>
  <c r="AJ74" i="2"/>
  <c r="AO74" i="2"/>
  <c r="AP74" i="2"/>
  <c r="AY74" i="2"/>
  <c r="AZ74" i="2"/>
  <c r="BB74" i="2"/>
  <c r="BC68" i="2"/>
  <c r="AZ69" i="2"/>
  <c r="BB69" i="2"/>
  <c r="BC69" i="2"/>
  <c r="AZ70" i="2"/>
  <c r="BB70" i="2"/>
  <c r="BC70" i="2"/>
  <c r="AZ71" i="2"/>
  <c r="BB71" i="2"/>
  <c r="BC71" i="2"/>
  <c r="AZ72" i="2"/>
  <c r="BB72" i="2"/>
  <c r="BC72" i="2"/>
  <c r="AZ73" i="2"/>
  <c r="BB73" i="2"/>
  <c r="BC73" i="2"/>
  <c r="BC74" i="2"/>
  <c r="F91" i="2"/>
  <c r="P28" i="2"/>
  <c r="BE69" i="2"/>
  <c r="BE70" i="2"/>
  <c r="BE71" i="2"/>
  <c r="BE72" i="2"/>
  <c r="BE73" i="2"/>
  <c r="BE74" i="2"/>
  <c r="G91" i="2"/>
  <c r="P27" i="2"/>
  <c r="G103" i="2"/>
  <c r="G86" i="2"/>
  <c r="G104" i="2"/>
  <c r="G87" i="2"/>
  <c r="G105" i="2"/>
  <c r="G88" i="2"/>
  <c r="G106" i="2"/>
  <c r="G89" i="2"/>
  <c r="G107" i="2"/>
  <c r="G90" i="2"/>
  <c r="G108" i="2"/>
  <c r="C36" i="2"/>
  <c r="G26" i="2"/>
  <c r="G24" i="2"/>
  <c r="P10" i="2"/>
  <c r="G29" i="2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J93" i="1"/>
  <c r="AH92" i="1"/>
  <c r="J92" i="1"/>
  <c r="AH91" i="1"/>
  <c r="J91" i="1"/>
  <c r="AH90" i="1"/>
  <c r="J90" i="1"/>
  <c r="AH89" i="1"/>
  <c r="J89" i="1"/>
  <c r="AH88" i="1"/>
  <c r="J88" i="1"/>
  <c r="AH87" i="1"/>
  <c r="AH86" i="1"/>
  <c r="AH85" i="1"/>
  <c r="AH84" i="1"/>
  <c r="AH83" i="1"/>
  <c r="AH82" i="1"/>
  <c r="AH81" i="1"/>
  <c r="AH80" i="1"/>
  <c r="AH79" i="1"/>
  <c r="AH78" i="1"/>
  <c r="AH77" i="1"/>
  <c r="N77" i="1"/>
  <c r="AH76" i="1"/>
  <c r="Y76" i="1"/>
  <c r="AV64" i="1"/>
  <c r="AU64" i="1"/>
  <c r="AT64" i="1"/>
  <c r="AS64" i="1"/>
  <c r="AR64" i="1"/>
  <c r="AU63" i="1"/>
  <c r="AT63" i="1"/>
  <c r="AS63" i="1"/>
  <c r="AR63" i="1"/>
  <c r="AT62" i="1"/>
  <c r="AS62" i="1"/>
  <c r="AR62" i="1"/>
  <c r="AS61" i="1"/>
  <c r="AR61" i="1"/>
  <c r="AR60" i="1"/>
  <c r="H32" i="1"/>
  <c r="I32" i="1"/>
  <c r="O32" i="1"/>
  <c r="P45" i="2"/>
  <c r="BF68" i="2"/>
  <c r="G56" i="2"/>
  <c r="H31" i="2"/>
  <c r="BQ74" i="2"/>
  <c r="BQ70" i="2"/>
  <c r="BQ71" i="2"/>
  <c r="BQ69" i="2"/>
  <c r="BQ73" i="2"/>
  <c r="BQ72" i="2"/>
  <c r="BQ68" i="2"/>
  <c r="BS75" i="2"/>
  <c r="H33" i="2"/>
  <c r="H76" i="1"/>
  <c r="G29" i="1"/>
  <c r="G32" i="1"/>
  <c r="N32" i="1"/>
  <c r="G28" i="1"/>
  <c r="G26" i="1"/>
  <c r="G30" i="1"/>
  <c r="G27" i="1"/>
  <c r="G31" i="1"/>
  <c r="P46" i="2"/>
  <c r="P51" i="2"/>
  <c r="L74" i="2"/>
  <c r="S74" i="2"/>
  <c r="L68" i="2"/>
  <c r="S68" i="2"/>
  <c r="W68" i="2"/>
  <c r="BG74" i="2"/>
  <c r="BF74" i="2"/>
  <c r="BF69" i="2"/>
  <c r="L69" i="2"/>
  <c r="S69" i="2"/>
  <c r="BG69" i="2"/>
  <c r="A103" i="2"/>
  <c r="A104" i="2"/>
  <c r="P47" i="2"/>
  <c r="W69" i="2"/>
  <c r="W74" i="2"/>
  <c r="BD68" i="2"/>
  <c r="P31" i="2"/>
  <c r="A109" i="2"/>
  <c r="BG70" i="2"/>
  <c r="BF70" i="2"/>
  <c r="P48" i="2"/>
  <c r="B103" i="2"/>
  <c r="AM68" i="2"/>
  <c r="AN68" i="2"/>
  <c r="L70" i="2"/>
  <c r="S70" i="2"/>
  <c r="W70" i="2"/>
  <c r="BG71" i="2"/>
  <c r="BF71" i="2"/>
  <c r="A105" i="2"/>
  <c r="P49" i="2"/>
  <c r="AM69" i="2"/>
  <c r="AN69" i="2"/>
  <c r="BG72" i="2"/>
  <c r="BF72" i="2"/>
  <c r="L71" i="2"/>
  <c r="S71" i="2"/>
  <c r="W71" i="2"/>
  <c r="A106" i="2"/>
  <c r="P50" i="2"/>
  <c r="F33" i="1"/>
  <c r="A107" i="2"/>
  <c r="L72" i="2"/>
  <c r="S72" i="2"/>
  <c r="W72" i="2"/>
  <c r="BF73" i="2"/>
  <c r="BG73" i="2"/>
  <c r="AM70" i="2"/>
  <c r="AN70" i="2"/>
  <c r="L73" i="2"/>
  <c r="S73" i="2"/>
  <c r="W73" i="2"/>
  <c r="AM71" i="2"/>
  <c r="AN71" i="2"/>
  <c r="A108" i="2"/>
  <c r="M77" i="1"/>
  <c r="P31" i="1"/>
  <c r="N31" i="1"/>
  <c r="AM72" i="2"/>
  <c r="AN72" i="2"/>
  <c r="AG72" i="2"/>
  <c r="P32" i="1"/>
  <c r="P30" i="1"/>
  <c r="L77" i="1"/>
  <c r="N30" i="1"/>
  <c r="D35" i="1"/>
  <c r="O31" i="1"/>
  <c r="AG73" i="2"/>
  <c r="AM73" i="2"/>
  <c r="AN73" i="2"/>
  <c r="AG74" i="2"/>
  <c r="AM74" i="2"/>
  <c r="AN74" i="2"/>
  <c r="BI72" i="2"/>
  <c r="BH72" i="2"/>
  <c r="O30" i="1"/>
  <c r="K77" i="1"/>
  <c r="N29" i="1"/>
  <c r="P29" i="1"/>
  <c r="BM72" i="2"/>
  <c r="BK72" i="2"/>
  <c r="O29" i="1"/>
  <c r="BI74" i="2"/>
  <c r="BH74" i="2"/>
  <c r="BH73" i="2"/>
  <c r="BI73" i="2"/>
  <c r="AG70" i="2"/>
  <c r="AG71" i="2"/>
  <c r="J77" i="1"/>
  <c r="N28" i="1"/>
  <c r="P28" i="1"/>
  <c r="BM74" i="2"/>
  <c r="BM73" i="2"/>
  <c r="BK73" i="2"/>
  <c r="BK74" i="2"/>
  <c r="BH70" i="2"/>
  <c r="BI70" i="2"/>
  <c r="O27" i="1"/>
  <c r="BI71" i="2"/>
  <c r="BH71" i="2"/>
  <c r="O28" i="1"/>
  <c r="I77" i="1"/>
  <c r="P27" i="1"/>
  <c r="N27" i="1"/>
  <c r="BK71" i="2"/>
  <c r="BM70" i="2"/>
  <c r="BM71" i="2"/>
  <c r="BK70" i="2"/>
  <c r="O26" i="1"/>
  <c r="AG69" i="2"/>
  <c r="H77" i="1"/>
  <c r="H78" i="1"/>
  <c r="AC68" i="1"/>
  <c r="N26" i="1"/>
  <c r="P26" i="1"/>
  <c r="H75" i="2"/>
  <c r="I68" i="2"/>
  <c r="BH69" i="2"/>
  <c r="BI69" i="2"/>
  <c r="P35" i="1"/>
  <c r="E21" i="1"/>
  <c r="BM69" i="2"/>
  <c r="BK69" i="2"/>
  <c r="G52" i="2"/>
  <c r="P17" i="2"/>
  <c r="I75" i="2"/>
  <c r="BH68" i="2"/>
  <c r="AG75" i="2"/>
  <c r="BN68" i="2"/>
  <c r="P52" i="2"/>
  <c r="BI75" i="2"/>
  <c r="BS68" i="2"/>
  <c r="AU75" i="2"/>
  <c r="AT75" i="2"/>
  <c r="BH75" i="2"/>
  <c r="BK68" i="2"/>
  <c r="BL68" i="2"/>
  <c r="P38" i="2"/>
  <c r="BI82" i="2"/>
  <c r="C85" i="2"/>
  <c r="D85" i="2"/>
  <c r="D103" i="2"/>
  <c r="D95" i="2"/>
  <c r="AV75" i="2"/>
  <c r="E85" i="2"/>
  <c r="E103" i="2"/>
  <c r="C103" i="2"/>
  <c r="C95" i="2"/>
  <c r="E95" i="2"/>
  <c r="BR68" i="2"/>
  <c r="BT68" i="2"/>
  <c r="M71" i="1"/>
  <c r="N71" i="1"/>
  <c r="L70" i="1"/>
  <c r="L69" i="1"/>
  <c r="K68" i="1"/>
  <c r="O41" i="1"/>
  <c r="L68" i="1"/>
  <c r="O42" i="1"/>
  <c r="O52" i="1"/>
  <c r="O43" i="1"/>
  <c r="O51" i="1"/>
  <c r="O38" i="1"/>
  <c r="N72" i="1"/>
  <c r="O39" i="1"/>
  <c r="M70" i="1"/>
  <c r="N70" i="1"/>
  <c r="O40" i="1"/>
  <c r="J68" i="1"/>
  <c r="M68" i="1"/>
  <c r="N68" i="1"/>
  <c r="N69" i="1"/>
  <c r="K69" i="1"/>
  <c r="M69" i="1"/>
  <c r="L71" i="1"/>
  <c r="L76" i="1"/>
  <c r="L78" i="1"/>
  <c r="O62" i="1"/>
  <c r="O50" i="1"/>
  <c r="O49" i="1"/>
  <c r="O54" i="1"/>
  <c r="O53" i="1"/>
  <c r="K70" i="1"/>
  <c r="K76" i="1"/>
  <c r="K78" i="1"/>
  <c r="O61" i="1"/>
  <c r="F85" i="2"/>
  <c r="BD69" i="2"/>
  <c r="P32" i="2"/>
  <c r="BL69" i="2"/>
  <c r="P39" i="2"/>
  <c r="BN69" i="2"/>
  <c r="P53" i="2"/>
  <c r="M72" i="1"/>
  <c r="M76" i="1"/>
  <c r="M78" i="1"/>
  <c r="O63" i="1"/>
  <c r="I68" i="1"/>
  <c r="I76" i="1"/>
  <c r="I78" i="1"/>
  <c r="O59" i="1"/>
  <c r="N73" i="1"/>
  <c r="N76" i="1"/>
  <c r="N78" i="1"/>
  <c r="O64" i="1"/>
  <c r="O60" i="1"/>
  <c r="J69" i="1"/>
  <c r="J76" i="1"/>
  <c r="J78" i="1"/>
  <c r="BD70" i="2"/>
  <c r="P33" i="2"/>
  <c r="B105" i="2"/>
  <c r="D86" i="2"/>
  <c r="BN70" i="2"/>
  <c r="P54" i="2"/>
  <c r="H85" i="2"/>
  <c r="H103" i="2"/>
  <c r="F103" i="2"/>
  <c r="F95" i="2"/>
  <c r="H95" i="2"/>
  <c r="M104" i="2"/>
  <c r="C86" i="2"/>
  <c r="BL70" i="2"/>
  <c r="P40" i="2"/>
  <c r="AK133" i="1"/>
  <c r="AW62" i="1"/>
  <c r="AK56" i="1"/>
  <c r="AU62" i="1"/>
  <c r="O78" i="1"/>
  <c r="AV62" i="1"/>
  <c r="M101" i="2"/>
  <c r="G98" i="2"/>
  <c r="BS69" i="2"/>
  <c r="AK134" i="1"/>
  <c r="C96" i="2"/>
  <c r="C104" i="2"/>
  <c r="BN71" i="2"/>
  <c r="D87" i="2"/>
  <c r="B104" i="2"/>
  <c r="AB56" i="1"/>
  <c r="AK132" i="1"/>
  <c r="M106" i="2"/>
  <c r="D104" i="2"/>
  <c r="E86" i="2"/>
  <c r="E104" i="2"/>
  <c r="D96" i="2"/>
  <c r="BL71" i="2"/>
  <c r="C87" i="2"/>
  <c r="BD71" i="2"/>
  <c r="G97" i="2"/>
  <c r="G96" i="2"/>
  <c r="AK125" i="1"/>
  <c r="AV61" i="1"/>
  <c r="AK137" i="1"/>
  <c r="AW63" i="1"/>
  <c r="AB55" i="1"/>
  <c r="AK138" i="1"/>
  <c r="AW64" i="1"/>
  <c r="H79" i="1"/>
  <c r="K79" i="1"/>
  <c r="L79" i="1"/>
  <c r="AK136" i="1"/>
  <c r="AV63" i="1"/>
  <c r="AC69" i="1"/>
  <c r="AK127" i="1"/>
  <c r="AK126" i="1"/>
  <c r="AU61" i="1"/>
  <c r="AK128" i="1"/>
  <c r="AK131" i="1"/>
  <c r="AK130" i="1"/>
  <c r="AT61" i="1"/>
  <c r="AK129" i="1"/>
  <c r="AK135" i="1"/>
  <c r="M79" i="1"/>
  <c r="AK124" i="1"/>
  <c r="AW61" i="1"/>
  <c r="J79" i="1"/>
  <c r="N79" i="1"/>
  <c r="I79" i="1"/>
  <c r="BL72" i="2"/>
  <c r="P41" i="2"/>
  <c r="BN72" i="2"/>
  <c r="BN73" i="2"/>
  <c r="P55" i="2"/>
  <c r="AM132" i="1"/>
  <c r="E96" i="2"/>
  <c r="P34" i="2"/>
  <c r="BD72" i="2"/>
  <c r="P35" i="2"/>
  <c r="D88" i="2"/>
  <c r="AK97" i="1"/>
  <c r="AK107" i="1"/>
  <c r="BS70" i="2"/>
  <c r="E87" i="2"/>
  <c r="E105" i="2"/>
  <c r="D97" i="2"/>
  <c r="D105" i="2"/>
  <c r="AK94" i="1"/>
  <c r="AK92" i="1"/>
  <c r="AR59" i="1"/>
  <c r="C97" i="2"/>
  <c r="C105" i="2"/>
  <c r="M92" i="2"/>
  <c r="C88" i="2"/>
  <c r="BL73" i="2"/>
  <c r="B107" i="2"/>
  <c r="AK96" i="1"/>
  <c r="AK98" i="1"/>
  <c r="AK99" i="1"/>
  <c r="AM135" i="1"/>
  <c r="AK109" i="1"/>
  <c r="AV60" i="1"/>
  <c r="AB69" i="1"/>
  <c r="AK100" i="1"/>
  <c r="AK83" i="1"/>
  <c r="AK82" i="1"/>
  <c r="AK80" i="1"/>
  <c r="AK81" i="1"/>
  <c r="AT59" i="1"/>
  <c r="AC71" i="1"/>
  <c r="AK108" i="1"/>
  <c r="AW60" i="1"/>
  <c r="AM124" i="1"/>
  <c r="AK102" i="1"/>
  <c r="AK103" i="1"/>
  <c r="AK104" i="1"/>
  <c r="AK105" i="1"/>
  <c r="AB71" i="1"/>
  <c r="AV59" i="1"/>
  <c r="AK77" i="1"/>
  <c r="AK79" i="1"/>
  <c r="AK78" i="1"/>
  <c r="AU59" i="1"/>
  <c r="AB70" i="1"/>
  <c r="AK111" i="1"/>
  <c r="AU60" i="1"/>
  <c r="AK110" i="1"/>
  <c r="AK101" i="1"/>
  <c r="AK113" i="1"/>
  <c r="AK112" i="1"/>
  <c r="AK115" i="1"/>
  <c r="AK114" i="1"/>
  <c r="AT60" i="1"/>
  <c r="AB74" i="1"/>
  <c r="AG139" i="1"/>
  <c r="AB73" i="1"/>
  <c r="AG138" i="1"/>
  <c r="AK95" i="1"/>
  <c r="AK106" i="1"/>
  <c r="AK93" i="1"/>
  <c r="AB68" i="1"/>
  <c r="L80" i="1"/>
  <c r="H81" i="1"/>
  <c r="O79" i="1"/>
  <c r="AK91" i="1"/>
  <c r="AK89" i="1"/>
  <c r="AK87" i="1"/>
  <c r="AK86" i="1"/>
  <c r="AK90" i="1"/>
  <c r="AK88" i="1"/>
  <c r="AK85" i="1"/>
  <c r="AK84" i="1"/>
  <c r="AS59" i="1"/>
  <c r="AC70" i="1"/>
  <c r="AK121" i="1"/>
  <c r="AK117" i="1"/>
  <c r="AK120" i="1"/>
  <c r="AK116" i="1"/>
  <c r="AK123" i="1"/>
  <c r="AK119" i="1"/>
  <c r="AK122" i="1"/>
  <c r="AK118" i="1"/>
  <c r="AS60" i="1"/>
  <c r="AK76" i="1"/>
  <c r="AW59" i="1"/>
  <c r="AB72" i="1"/>
  <c r="C90" i="2"/>
  <c r="C100" i="2"/>
  <c r="P43" i="2"/>
  <c r="D90" i="2"/>
  <c r="P57" i="2"/>
  <c r="D89" i="2"/>
  <c r="P56" i="2"/>
  <c r="C89" i="2"/>
  <c r="P42" i="2"/>
  <c r="BD73" i="2"/>
  <c r="P36" i="2"/>
  <c r="G99" i="2"/>
  <c r="BL74" i="2"/>
  <c r="BR69" i="2"/>
  <c r="BT69" i="2"/>
  <c r="BS71" i="2"/>
  <c r="C98" i="2"/>
  <c r="C106" i="2"/>
  <c r="E97" i="2"/>
  <c r="D98" i="2"/>
  <c r="E88" i="2"/>
  <c r="E106" i="2"/>
  <c r="D106" i="2"/>
  <c r="B106" i="2"/>
  <c r="BN74" i="2"/>
  <c r="B108" i="2"/>
  <c r="C108" i="2"/>
  <c r="M97" i="2"/>
  <c r="L81" i="1"/>
  <c r="AG105" i="1"/>
  <c r="AG101" i="1"/>
  <c r="AG97" i="1"/>
  <c r="AG93" i="1"/>
  <c r="AG91" i="1"/>
  <c r="AG89" i="1"/>
  <c r="AG87" i="1"/>
  <c r="AG83" i="1"/>
  <c r="AG79" i="1"/>
  <c r="AG104" i="1"/>
  <c r="AG100" i="1"/>
  <c r="AG96" i="1"/>
  <c r="AG86" i="1"/>
  <c r="AG82" i="1"/>
  <c r="AG107" i="1"/>
  <c r="AG103" i="1"/>
  <c r="AG106" i="1"/>
  <c r="AG102" i="1"/>
  <c r="AG98" i="1"/>
  <c r="AG94" i="1"/>
  <c r="AG84" i="1"/>
  <c r="AG80" i="1"/>
  <c r="AG99" i="1"/>
  <c r="AG95" i="1"/>
  <c r="AG85" i="1"/>
  <c r="AG81" i="1"/>
  <c r="AG77" i="1"/>
  <c r="AG76" i="1"/>
  <c r="AG92" i="1"/>
  <c r="AG90" i="1"/>
  <c r="AG88" i="1"/>
  <c r="AG78" i="1"/>
  <c r="AI138" i="1"/>
  <c r="AJ138" i="1"/>
  <c r="K81" i="1"/>
  <c r="AG121" i="1"/>
  <c r="AG117" i="1"/>
  <c r="AG113" i="1"/>
  <c r="AG109" i="1"/>
  <c r="AG120" i="1"/>
  <c r="AG116" i="1"/>
  <c r="AG112" i="1"/>
  <c r="AG108" i="1"/>
  <c r="AG123" i="1"/>
  <c r="AG119" i="1"/>
  <c r="AG115" i="1"/>
  <c r="AG111" i="1"/>
  <c r="AG122" i="1"/>
  <c r="AG118" i="1"/>
  <c r="AG114" i="1"/>
  <c r="AG110" i="1"/>
  <c r="M81" i="1"/>
  <c r="AG128" i="1"/>
  <c r="AG131" i="1"/>
  <c r="AG127" i="1"/>
  <c r="AG124" i="1"/>
  <c r="AG130" i="1"/>
  <c r="AG126" i="1"/>
  <c r="AG129" i="1"/>
  <c r="AG125" i="1"/>
  <c r="AG135" i="1"/>
  <c r="AG132" i="1"/>
  <c r="AG134" i="1"/>
  <c r="AG133" i="1"/>
  <c r="I81" i="1"/>
  <c r="AG137" i="1"/>
  <c r="AG136" i="1"/>
  <c r="N81" i="1"/>
  <c r="J81" i="1"/>
  <c r="AI139" i="1"/>
  <c r="AJ139" i="1"/>
  <c r="E90" i="2"/>
  <c r="E108" i="2"/>
  <c r="D100" i="2"/>
  <c r="E100" i="2"/>
  <c r="D108" i="2"/>
  <c r="D91" i="2"/>
  <c r="D109" i="2"/>
  <c r="P58" i="2"/>
  <c r="C91" i="2"/>
  <c r="C109" i="2"/>
  <c r="P44" i="2"/>
  <c r="C99" i="2"/>
  <c r="C107" i="2"/>
  <c r="C113" i="2"/>
  <c r="E89" i="2"/>
  <c r="E107" i="2"/>
  <c r="E113" i="2"/>
  <c r="D107" i="2"/>
  <c r="D112" i="2"/>
  <c r="D99" i="2"/>
  <c r="BD74" i="2"/>
  <c r="P37" i="2"/>
  <c r="BR70" i="2"/>
  <c r="BT70" i="2"/>
  <c r="D113" i="2"/>
  <c r="E98" i="2"/>
  <c r="BS72" i="2"/>
  <c r="BS73" i="2"/>
  <c r="B109" i="2"/>
  <c r="B112" i="2"/>
  <c r="P20" i="2"/>
  <c r="B113" i="2"/>
  <c r="P19" i="2"/>
  <c r="BA69" i="2"/>
  <c r="G101" i="2"/>
  <c r="G109" i="2"/>
  <c r="G100" i="2"/>
  <c r="AI118" i="1"/>
  <c r="AJ118" i="1"/>
  <c r="AI133" i="1"/>
  <c r="AJ133" i="1"/>
  <c r="AI125" i="1"/>
  <c r="AJ125" i="1"/>
  <c r="AI124" i="1"/>
  <c r="AJ124" i="1"/>
  <c r="AI122" i="1"/>
  <c r="AJ122" i="1"/>
  <c r="AI123" i="1"/>
  <c r="AJ123" i="1"/>
  <c r="AI120" i="1"/>
  <c r="AJ120" i="1"/>
  <c r="AI121" i="1"/>
  <c r="AJ121" i="1"/>
  <c r="AI78" i="1"/>
  <c r="AJ78" i="1"/>
  <c r="AI76" i="1"/>
  <c r="AJ76" i="1"/>
  <c r="AI95" i="1"/>
  <c r="AJ95" i="1"/>
  <c r="AI94" i="1"/>
  <c r="AJ94" i="1"/>
  <c r="AI103" i="1"/>
  <c r="AJ103" i="1"/>
  <c r="AI96" i="1"/>
  <c r="AJ96" i="1"/>
  <c r="AI83" i="1"/>
  <c r="AJ83" i="1"/>
  <c r="AI93" i="1"/>
  <c r="AJ93" i="1"/>
  <c r="AI128" i="1"/>
  <c r="AJ128" i="1"/>
  <c r="AI136" i="1"/>
  <c r="AJ136" i="1"/>
  <c r="AI134" i="1"/>
  <c r="AJ134" i="1"/>
  <c r="AI129" i="1"/>
  <c r="AJ129" i="1"/>
  <c r="AI127" i="1"/>
  <c r="AJ127" i="1"/>
  <c r="AI110" i="1"/>
  <c r="AJ110" i="1"/>
  <c r="AI111" i="1"/>
  <c r="AJ111" i="1"/>
  <c r="AI108" i="1"/>
  <c r="AJ108" i="1"/>
  <c r="AI109" i="1"/>
  <c r="AJ109" i="1"/>
  <c r="AI88" i="1"/>
  <c r="AJ88" i="1"/>
  <c r="AI77" i="1"/>
  <c r="AJ77" i="1"/>
  <c r="AI99" i="1"/>
  <c r="AJ99" i="1"/>
  <c r="AI98" i="1"/>
  <c r="AJ98" i="1"/>
  <c r="AI107" i="1"/>
  <c r="AJ107" i="1"/>
  <c r="AI100" i="1"/>
  <c r="AJ100" i="1"/>
  <c r="AI87" i="1"/>
  <c r="AJ87" i="1"/>
  <c r="AI97" i="1"/>
  <c r="AJ97" i="1"/>
  <c r="AI137" i="1"/>
  <c r="AJ137" i="1"/>
  <c r="AI132" i="1"/>
  <c r="AJ132" i="1"/>
  <c r="AI126" i="1"/>
  <c r="AJ126" i="1"/>
  <c r="AI131" i="1"/>
  <c r="AJ131" i="1"/>
  <c r="AI114" i="1"/>
  <c r="AJ114" i="1"/>
  <c r="AI115" i="1"/>
  <c r="AJ115" i="1"/>
  <c r="AI112" i="1"/>
  <c r="AJ112" i="1"/>
  <c r="AI113" i="1"/>
  <c r="AJ113" i="1"/>
  <c r="AI90" i="1"/>
  <c r="AJ90" i="1"/>
  <c r="AI81" i="1"/>
  <c r="AJ81" i="1"/>
  <c r="AI80" i="1"/>
  <c r="AJ80" i="1"/>
  <c r="AI102" i="1"/>
  <c r="AJ102" i="1"/>
  <c r="AI82" i="1"/>
  <c r="AJ82" i="1"/>
  <c r="AI104" i="1"/>
  <c r="AJ104" i="1"/>
  <c r="AI89" i="1"/>
  <c r="AJ89" i="1"/>
  <c r="AI101" i="1"/>
  <c r="AJ101" i="1"/>
  <c r="AI135" i="1"/>
  <c r="AJ135" i="1"/>
  <c r="AI130" i="1"/>
  <c r="AJ130" i="1"/>
  <c r="AI119" i="1"/>
  <c r="AJ119" i="1"/>
  <c r="AI116" i="1"/>
  <c r="AJ116" i="1"/>
  <c r="AI117" i="1"/>
  <c r="AJ117" i="1"/>
  <c r="AI92" i="1"/>
  <c r="AJ92" i="1"/>
  <c r="AI85" i="1"/>
  <c r="AJ85" i="1"/>
  <c r="AI84" i="1"/>
  <c r="AJ84" i="1"/>
  <c r="AI106" i="1"/>
  <c r="AJ106" i="1"/>
  <c r="AI86" i="1"/>
  <c r="AJ86" i="1"/>
  <c r="AI79" i="1"/>
  <c r="AJ79" i="1"/>
  <c r="AI91" i="1"/>
  <c r="AJ91" i="1"/>
  <c r="AI105" i="1"/>
  <c r="AJ105" i="1"/>
  <c r="D101" i="2"/>
  <c r="E112" i="2"/>
  <c r="E99" i="2"/>
  <c r="E91" i="2"/>
  <c r="E109" i="2"/>
  <c r="C101" i="2"/>
  <c r="E101" i="2"/>
  <c r="C112" i="2"/>
  <c r="BS74" i="2"/>
  <c r="G113" i="2"/>
  <c r="P23" i="2"/>
  <c r="F86" i="2"/>
  <c r="BA70" i="2"/>
  <c r="F96" i="2"/>
  <c r="H96" i="2"/>
  <c r="F104" i="2"/>
  <c r="H86" i="2"/>
  <c r="H104" i="2"/>
  <c r="BR71" i="2"/>
  <c r="BT71" i="2"/>
  <c r="BA71" i="2"/>
  <c r="F87" i="2"/>
  <c r="BR72" i="2"/>
  <c r="BT72" i="2"/>
  <c r="H87" i="2"/>
  <c r="H105" i="2"/>
  <c r="F97" i="2"/>
  <c r="H97" i="2"/>
  <c r="F105" i="2"/>
  <c r="F88" i="2"/>
  <c r="BA72" i="2"/>
  <c r="F106" i="2"/>
  <c r="H88" i="2"/>
  <c r="H106" i="2"/>
  <c r="F98" i="2"/>
  <c r="H98" i="2"/>
  <c r="BR73" i="2"/>
  <c r="BT73" i="2"/>
  <c r="F89" i="2"/>
  <c r="H89" i="2"/>
  <c r="H107" i="2"/>
  <c r="F107" i="2"/>
  <c r="F99" i="2"/>
  <c r="H99" i="2"/>
  <c r="G53" i="2"/>
  <c r="BA73" i="2"/>
  <c r="BR74" i="2"/>
  <c r="BA74" i="2"/>
  <c r="BA75" i="2"/>
  <c r="AZ75" i="2"/>
  <c r="AZ82" i="2"/>
  <c r="BU74" i="2"/>
  <c r="BT74" i="2"/>
  <c r="F90" i="2"/>
  <c r="G55" i="2"/>
  <c r="G54" i="2"/>
  <c r="F108" i="2"/>
  <c r="F100" i="2"/>
  <c r="H100" i="2"/>
  <c r="H90" i="2"/>
  <c r="H108" i="2"/>
  <c r="F109" i="2"/>
  <c r="H91" i="2"/>
  <c r="H109" i="2"/>
  <c r="F101" i="2"/>
  <c r="H101" i="2"/>
  <c r="G50" i="2"/>
  <c r="P29" i="2"/>
  <c r="AZ83" i="2"/>
  <c r="G51" i="2"/>
  <c r="P30" i="2"/>
  <c r="F113" i="2"/>
  <c r="P21" i="2"/>
  <c r="H112" i="2"/>
  <c r="P26" i="2"/>
  <c r="H113" i="2"/>
  <c r="P25" i="2"/>
  <c r="F112" i="2"/>
  <c r="P22" i="2"/>
  <c r="G112" i="2"/>
  <c r="P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*******</author>
  </authors>
  <commentList>
    <comment ref="AU67" authorId="0" shapeId="0" xr:uid="{80CD55A6-E2F9-47BF-91A7-55372A093404}">
      <text>
        <r>
          <rPr>
            <b/>
            <sz val="8"/>
            <color rgb="FF000000"/>
            <rFont val="Tahoma"/>
            <family val="2"/>
          </rPr>
          <t>*******: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assume that two zero order flow paths come together to define the upstream end of the first order stream
</t>
        </r>
      </text>
    </comment>
  </commentList>
</comments>
</file>

<file path=xl/sharedStrings.xml><?xml version="1.0" encoding="utf-8"?>
<sst xmlns="http://schemas.openxmlformats.org/spreadsheetml/2006/main" count="577" uniqueCount="315">
  <si>
    <t>Calculations based on:</t>
  </si>
  <si>
    <t>Rodriguez-Iturbe, I., and A. Rinaldo (1997), Fractal River Basins: Chance</t>
  </si>
  <si>
    <t>and Self-Organization, Cambridge Univ. Press, New York.</t>
  </si>
  <si>
    <t>Rb</t>
  </si>
  <si>
    <t>Ra</t>
  </si>
  <si>
    <t>Rl</t>
  </si>
  <si>
    <t>A1</t>
  </si>
  <si>
    <t>L1</t>
  </si>
  <si>
    <t>DA</t>
  </si>
  <si>
    <t>km2</t>
  </si>
  <si>
    <t>OrdersInAdditionToFirst</t>
  </si>
  <si>
    <t>DiffForSolver</t>
  </si>
  <si>
    <t>Order of Watershed</t>
  </si>
  <si>
    <t>ProportionofHighestOrder</t>
  </si>
  <si>
    <t>MinNextOrderSize</t>
  </si>
  <si>
    <t>AreaChangeProportion</t>
  </si>
  <si>
    <t>RiverLengthInHighestOrder</t>
  </si>
  <si>
    <t>Drainage density</t>
  </si>
  <si>
    <t>Sinuousity</t>
  </si>
  <si>
    <t xml:space="preserve">                                                                                                                                                                                                                     </t>
  </si>
  <si>
    <t>LINK ESTIMATE</t>
  </si>
  <si>
    <t>Hierarchical</t>
  </si>
  <si>
    <t>Non Hierarchical</t>
  </si>
  <si>
    <t>LinkFactor</t>
  </si>
  <si>
    <t>Links</t>
  </si>
  <si>
    <t>Order</t>
  </si>
  <si>
    <t>Length</t>
  </si>
  <si>
    <t>Number</t>
  </si>
  <si>
    <t>MeanArea</t>
  </si>
  <si>
    <t>Streams</t>
  </si>
  <si>
    <t>TotalArea</t>
  </si>
  <si>
    <t>Area</t>
  </si>
  <si>
    <t>Total length</t>
  </si>
  <si>
    <t>Probabilities based on LINKS</t>
  </si>
  <si>
    <t>Number of nonhierarchical streams entering order</t>
  </si>
  <si>
    <t>Avg number of streams entering a stream of a given order</t>
  </si>
  <si>
    <t>Total#ofStreamsEnteringEachOrder</t>
  </si>
  <si>
    <t>Prob of Stream of Given Order entering another order</t>
  </si>
  <si>
    <t>Prob of Stream of Given Order entering upstream end</t>
  </si>
  <si>
    <t>SUM</t>
  </si>
  <si>
    <t>Avg area draining to a stream of a given order</t>
  </si>
  <si>
    <t>Source</t>
  </si>
  <si>
    <t>Sink</t>
  </si>
  <si>
    <t>Paths</t>
  </si>
  <si>
    <t>Step1</t>
  </si>
  <si>
    <t>Step2</t>
  </si>
  <si>
    <t>Step3</t>
  </si>
  <si>
    <t>Step4</t>
  </si>
  <si>
    <t>Step5</t>
  </si>
  <si>
    <t>Step7</t>
  </si>
  <si>
    <t>Prob</t>
  </si>
  <si>
    <t>Prob-mean  pathways</t>
  </si>
  <si>
    <t>Prob-upstream  pathways</t>
  </si>
  <si>
    <t>Avg drainage area directly to order</t>
  </si>
  <si>
    <t>number of streams</t>
  </si>
  <si>
    <t>Total drainage area directly to order</t>
  </si>
  <si>
    <t>total length of stream</t>
  </si>
  <si>
    <t>link factor</t>
  </si>
  <si>
    <t>area</t>
  </si>
  <si>
    <t>area/link factor</t>
  </si>
  <si>
    <t>Results</t>
  </si>
  <si>
    <t>Variable</t>
  </si>
  <si>
    <t>Value</t>
  </si>
  <si>
    <t>input</t>
  </si>
  <si>
    <t>MeanAnnualRO</t>
  </si>
  <si>
    <t>ROPropMean</t>
  </si>
  <si>
    <t>ActualRO</t>
  </si>
  <si>
    <t>Width_a</t>
  </si>
  <si>
    <t>Width_b</t>
  </si>
  <si>
    <t>at-a-site_b</t>
  </si>
  <si>
    <t>m: Process_Slope</t>
  </si>
  <si>
    <t>DD</t>
  </si>
  <si>
    <t>CumBA.7thOrder</t>
  </si>
  <si>
    <t>B.A. slope</t>
  </si>
  <si>
    <t>.</t>
  </si>
  <si>
    <t>"Typical Values</t>
  </si>
  <si>
    <t>PARAMETER</t>
  </si>
  <si>
    <t>VALUE</t>
  </si>
  <si>
    <t>CHECK</t>
  </si>
  <si>
    <t>UNITS</t>
  </si>
  <si>
    <t>B.A. Constant</t>
  </si>
  <si>
    <t>networkDenit.slope</t>
  </si>
  <si>
    <t>TargetDA</t>
  </si>
  <si>
    <t>networkDenit.constant</t>
  </si>
  <si>
    <t>networkLoad.slope</t>
  </si>
  <si>
    <t>networkLoad.constant</t>
  </si>
  <si>
    <t>Length Ratio</t>
  </si>
  <si>
    <t>%R.slope</t>
  </si>
  <si>
    <t>Area Ratio</t>
  </si>
  <si>
    <t>%R.constant</t>
  </si>
  <si>
    <t>Numbers Ratio</t>
  </si>
  <si>
    <t>cumSupply</t>
  </si>
  <si>
    <t>mean annual</t>
  </si>
  <si>
    <t>RO mm/yr</t>
  </si>
  <si>
    <t>mm/yr</t>
  </si>
  <si>
    <t>cumDemand</t>
  </si>
  <si>
    <t>actual</t>
  </si>
  <si>
    <t>cumRemoval.Prop</t>
  </si>
  <si>
    <t>RO prop of mean</t>
  </si>
  <si>
    <t>Export.Prop</t>
  </si>
  <si>
    <t>width</t>
  </si>
  <si>
    <t>a</t>
  </si>
  <si>
    <t xml:space="preserve">m </t>
  </si>
  <si>
    <t>cumBA.1</t>
  </si>
  <si>
    <t>b</t>
  </si>
  <si>
    <t>[-]</t>
  </si>
  <si>
    <t>cumBA.2</t>
  </si>
  <si>
    <t>cumBA.3</t>
  </si>
  <si>
    <t>depth</t>
  </si>
  <si>
    <t>c</t>
  </si>
  <si>
    <t>m</t>
  </si>
  <si>
    <t>cumBA.4</t>
  </si>
  <si>
    <t>d</t>
  </si>
  <si>
    <t>cumBA.5</t>
  </si>
  <si>
    <t>cumBA.6</t>
  </si>
  <si>
    <t>velocity</t>
  </si>
  <si>
    <t>e</t>
  </si>
  <si>
    <t>m/s</t>
  </si>
  <si>
    <t>cumBA.7</t>
  </si>
  <si>
    <t>f</t>
  </si>
  <si>
    <t>km</t>
  </si>
  <si>
    <t>vf (m yr-1)</t>
  </si>
  <si>
    <t>m/yr</t>
  </si>
  <si>
    <t>DA.1</t>
  </si>
  <si>
    <t>Loading Conc (mg/L)</t>
  </si>
  <si>
    <t>mg/L</t>
  </si>
  <si>
    <t>DA.2</t>
  </si>
  <si>
    <t>TOTAL_LOAD</t>
  </si>
  <si>
    <t>GPP Constant</t>
  </si>
  <si>
    <t>DA.3</t>
  </si>
  <si>
    <t>kg/basin/yr</t>
  </si>
  <si>
    <t>GPP Slope</t>
  </si>
  <si>
    <t>DA.4</t>
  </si>
  <si>
    <t>ER Constant</t>
  </si>
  <si>
    <t>DA.5</t>
  </si>
  <si>
    <t>RESULTS</t>
  </si>
  <si>
    <t>ER Slope</t>
  </si>
  <si>
    <t>DA.6</t>
  </si>
  <si>
    <t>Basin Removal</t>
  </si>
  <si>
    <t>Denit Constant</t>
  </si>
  <si>
    <t>DA.7</t>
  </si>
  <si>
    <t>Basin Export</t>
  </si>
  <si>
    <t>Denit Slope</t>
  </si>
  <si>
    <t>drainage density</t>
  </si>
  <si>
    <t>factor diff - 7th vs 1st</t>
  </si>
  <si>
    <t>proportion in 1-4</t>
  </si>
  <si>
    <t>proportion in 5-7</t>
  </si>
  <si>
    <t>RHl</t>
  </si>
  <si>
    <t>DIRECT LOADING</t>
  </si>
  <si>
    <t>DOWNSTREAM FLUXES</t>
  </si>
  <si>
    <t>GPP Areal Rate</t>
  </si>
  <si>
    <t>ER Areal Rate</t>
  </si>
  <si>
    <t>GPP total flux in order</t>
  </si>
  <si>
    <t>ER total flux in order</t>
  </si>
  <si>
    <t>AT DOWNSTREAM END</t>
  </si>
  <si>
    <t>AT MIDPOINT</t>
  </si>
  <si>
    <t>Per Reach Defined by Order ----------------------------------------</t>
  </si>
  <si>
    <t>CONSTANT Vf Scenario</t>
  </si>
  <si>
    <t>HL (per 1km)</t>
  </si>
  <si>
    <t>Per 1km reach</t>
  </si>
  <si>
    <t>Per Reach Defined by Order</t>
  </si>
  <si>
    <t>Proportion of basin area</t>
  </si>
  <si>
    <t>Proportion of stream load</t>
  </si>
  <si>
    <t>BASIN WIDE -------</t>
  </si>
  <si>
    <t>MEAN ANNUAL HYDRAULICS</t>
  </si>
  <si>
    <t>AT-A-SITE CONSTANTS</t>
  </si>
  <si>
    <t>TIME VARYING HYDRAULICS</t>
  </si>
  <si>
    <t>UpstreamIn</t>
  </si>
  <si>
    <t>draining to order</t>
  </si>
  <si>
    <t>to order, allowing all first</t>
  </si>
  <si>
    <t>By streams of order x</t>
  </si>
  <si>
    <t>AT DOWNSTREAM END OF REACH</t>
  </si>
  <si>
    <t>AT MEAN LENGTH OF REACH</t>
  </si>
  <si>
    <t>At-a-site D constant</t>
  </si>
  <si>
    <t>At-a-site W constant</t>
  </si>
  <si>
    <t>At-a-site V constant</t>
  </si>
  <si>
    <t>AT-A-SITE</t>
  </si>
  <si>
    <t>Mean</t>
  </si>
  <si>
    <t>Total</t>
  </si>
  <si>
    <t>Halfwaydown</t>
  </si>
  <si>
    <t>vf</t>
  </si>
  <si>
    <t>order area to drain to first</t>
  </si>
  <si>
    <t>LocalLoad</t>
  </si>
  <si>
    <t>Inputs to Upstream End</t>
  </si>
  <si>
    <t>Inputs to Halfway</t>
  </si>
  <si>
    <t>Removal Ampount</t>
  </si>
  <si>
    <t>Proportion removed by stream of order x</t>
  </si>
  <si>
    <t>Amt Removed By One Stream of Each Order</t>
  </si>
  <si>
    <t>Cum Removal Accounting for Prob of FlowPath</t>
  </si>
  <si>
    <t>cumBenthic Surface Area</t>
  </si>
  <si>
    <t>Amt Loaded INTO One Stream</t>
  </si>
  <si>
    <t>Amt Fluxes By One Stream of Each Order</t>
  </si>
  <si>
    <t>cumFlux Accounting for Prob of FlowPath</t>
  </si>
  <si>
    <t>Concentration</t>
  </si>
  <si>
    <t>kg/yr</t>
  </si>
  <si>
    <t>m3/yr</t>
  </si>
  <si>
    <t>Stream Order</t>
  </si>
  <si>
    <t>Mean Length</t>
  </si>
  <si>
    <t>Mean Area</t>
  </si>
  <si>
    <t>Numbers</t>
  </si>
  <si>
    <t>Mean Q</t>
  </si>
  <si>
    <t>Depth</t>
  </si>
  <si>
    <t>Width</t>
  </si>
  <si>
    <t>Velocity</t>
  </si>
  <si>
    <t>Benthic Surface Area</t>
  </si>
  <si>
    <t>Residence Time</t>
  </si>
  <si>
    <t>HL</t>
  </si>
  <si>
    <t>Removal</t>
  </si>
  <si>
    <t>Transfer</t>
  </si>
  <si>
    <t>(as prop of total load)</t>
  </si>
  <si>
    <t>g C m-2 yr-1</t>
  </si>
  <si>
    <t>kg/km2/yr</t>
  </si>
  <si>
    <t>(mg/l)</t>
  </si>
  <si>
    <t>m3/s</t>
  </si>
  <si>
    <t>days</t>
  </si>
  <si>
    <t>(-)</t>
  </si>
  <si>
    <t>ProportionRemoved</t>
  </si>
  <si>
    <t>P/R network scale</t>
  </si>
  <si>
    <t>NETWORK SCALING FUNCTIONS</t>
  </si>
  <si>
    <t>ProportionExported</t>
  </si>
  <si>
    <t>D.A</t>
  </si>
  <si>
    <t>cumBA.km2</t>
  </si>
  <si>
    <t>cumGPP.kgyr</t>
  </si>
  <si>
    <t>cumER.kgyr</t>
  </si>
  <si>
    <t>cumP:R</t>
  </si>
  <si>
    <t>cumDenit.kgyr</t>
  </si>
  <si>
    <t>cumLoading.kgyr</t>
  </si>
  <si>
    <t>%R</t>
  </si>
  <si>
    <t>ORDER TRANSITION PROBABILITIES</t>
  </si>
  <si>
    <t>FlowPath</t>
  </si>
  <si>
    <t xml:space="preserve">Prob to upstream </t>
  </si>
  <si>
    <t>Avg # into each order from a lower order</t>
  </si>
  <si>
    <t>cumGPP.kg.km2ofDA.yr</t>
  </si>
  <si>
    <t>cumER.kg.km2ofDA.yr</t>
  </si>
  <si>
    <t>cumLoading.kgkm2yr</t>
  </si>
  <si>
    <t>PowerConstant</t>
  </si>
  <si>
    <t>PowerSlope</t>
  </si>
  <si>
    <t>cumGPPFlux.1</t>
  </si>
  <si>
    <t>cumGPPFlux.2</t>
  </si>
  <si>
    <t>cumGPPFlux.3</t>
  </si>
  <si>
    <t>cumGPPFlux.4</t>
  </si>
  <si>
    <t>cumGPPFlux.5</t>
  </si>
  <si>
    <t>cumGPPFlux.6</t>
  </si>
  <si>
    <t>cumGPPFlux.7</t>
  </si>
  <si>
    <t>cumERFlux.1</t>
  </si>
  <si>
    <t>cumERFlux.2</t>
  </si>
  <si>
    <t>cumERFlux.3</t>
  </si>
  <si>
    <t>cumERFlux.4</t>
  </si>
  <si>
    <t>cumERFlux.5</t>
  </si>
  <si>
    <t>cumERFlux.6</t>
  </si>
  <si>
    <t>cumERFlux.7</t>
  </si>
  <si>
    <t>B: Process_Constant (vf)</t>
  </si>
  <si>
    <t>Units</t>
  </si>
  <si>
    <t>Type</t>
  </si>
  <si>
    <t>1/km</t>
  </si>
  <si>
    <t>DREW:  This refered previously to F81 and G81 i.e. 6th rather than 7th order cell.  Any implications?</t>
  </si>
  <si>
    <t>DREW:  This refered previously did not include  7th order cell.  Any implications?</t>
  </si>
  <si>
    <t>Inputs and Results</t>
  </si>
  <si>
    <t>g C / m2 / yr</t>
  </si>
  <si>
    <t>INPUTS (from input/result table to right, and referred to in model below)</t>
  </si>
  <si>
    <t>PARAMETERS FOR LOCAL SCALING (PER UNIT BENTHIC AREA)</t>
  </si>
  <si>
    <t>1. INPUTS AND RESULTS</t>
  </si>
  <si>
    <t>2.  MODEL CALCULATIONS</t>
  </si>
  <si>
    <t>cumDenit.kgkm2ofDAyr</t>
  </si>
  <si>
    <t>at-site b</t>
  </si>
  <si>
    <t>at-site d</t>
  </si>
  <si>
    <t>at-site f</t>
  </si>
  <si>
    <t>R for UpstreamIn</t>
  </si>
  <si>
    <t>TE for UpstreamIn</t>
  </si>
  <si>
    <t>R for HalfwayDown</t>
  </si>
  <si>
    <t>TE for HalfwayDown</t>
  </si>
  <si>
    <t xml:space="preserve">Note: if there is a different number of orders in your river network, the model below will need to be modified. </t>
  </si>
  <si>
    <t>Export from Order</t>
  </si>
  <si>
    <t>First order Process Results</t>
  </si>
  <si>
    <t>Zero order Process Results</t>
  </si>
  <si>
    <t>GPP BY ONE STREAM IN ORDER</t>
  </si>
  <si>
    <t>CUMULATIVE GPP</t>
  </si>
  <si>
    <t>ER BY ONE STREAM IN ORDER</t>
  </si>
  <si>
    <t>CUMULATIVE ER</t>
  </si>
  <si>
    <t>LOADING</t>
  </si>
  <si>
    <t>Q</t>
  </si>
  <si>
    <t>In Stream Concentration</t>
  </si>
  <si>
    <t>CONCENTRATIONS FOR 1st ORDER</t>
  </si>
  <si>
    <t>cumBA.propDA</t>
  </si>
  <si>
    <t>3.  DERIVE ALLOMETRIC SCALING OF CUMULATIVE NETWORK FUNCTION WITH WATERSHED AREA</t>
  </si>
  <si>
    <t>4.  TRANSITION PROBABILITIES USED IN MODEL (FROM sheet: NetworkGeomorphology)</t>
  </si>
  <si>
    <t>CAN VARY</t>
  </si>
  <si>
    <t>Model of river network removal for one set of conditions:  A rectangular river network</t>
  </si>
  <si>
    <t>CONSTANT FOR THIS SPREADSHEET (Rectangular Shape)</t>
  </si>
  <si>
    <t>Definiton</t>
  </si>
  <si>
    <t>Bifurcation ratio</t>
  </si>
  <si>
    <t>Drainage Area</t>
  </si>
  <si>
    <t>Area of 1st order catchment</t>
  </si>
  <si>
    <t>Length of 1st order stream</t>
  </si>
  <si>
    <t>w vs Q constant</t>
  </si>
  <si>
    <t>w vs. Q slope</t>
  </si>
  <si>
    <t>w vs. Q slope at-a-site</t>
  </si>
  <si>
    <t>1st order process constant</t>
  </si>
  <si>
    <t>1st order process slope</t>
  </si>
  <si>
    <t>cumulative benthic surface area</t>
  </si>
  <si>
    <t>BA in basin of 1km2</t>
  </si>
  <si>
    <t>Denitrification in basin of 1km2</t>
  </si>
  <si>
    <t>Loading in basin of 1km2</t>
  </si>
  <si>
    <t>Total loading to whole river network</t>
  </si>
  <si>
    <t>Total processing of whole river network</t>
  </si>
  <si>
    <t>Proportion of loads removed</t>
  </si>
  <si>
    <t>Proportion of loads exported</t>
  </si>
  <si>
    <t>Removal proportion by basin of 1km2</t>
  </si>
  <si>
    <t>change in cum. Denit with increasing DA</t>
  </si>
  <si>
    <t>Change in cum. BA with increasing DA</t>
  </si>
  <si>
    <t>change in cum. Loading with increasing DA</t>
  </si>
  <si>
    <t>change in cum. Removal proportion with increasing DA</t>
  </si>
  <si>
    <t>mean annual runoff</t>
  </si>
  <si>
    <t>actual runoff</t>
  </si>
  <si>
    <t>proportion of actual to mean runoff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</si>
</sst>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00000"/>
    <numFmt numFmtId="166" formatCode="0.0"/>
    <numFmt numFmtId="167" formatCode="0.000000000"/>
    <numFmt numFmtId="168" formatCode="0.0000"/>
    <numFmt numFmtId="169" formatCode="0.00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07">
    <xf numFmtId="0" fontId="0" fillId="0" borderId="0" xfId="0"/>
    <xf numFmtId="0" fontId="1" fillId="0" borderId="0" xfId="1"/>
    <xf numFmtId="0" fontId="1" fillId="2" borderId="0" xfId="1" applyFill="1"/>
    <xf numFmtId="0" fontId="1" fillId="0" borderId="0" xfId="1" applyFill="1"/>
    <xf numFmtId="0" fontId="2" fillId="0" borderId="0" xfId="1" applyFont="1"/>
    <xf numFmtId="164" fontId="2" fillId="0" borderId="0" xfId="1" applyNumberFormat="1" applyFont="1"/>
    <xf numFmtId="164" fontId="1" fillId="0" borderId="0" xfId="1" applyNumberFormat="1"/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4" xfId="1" applyFill="1" applyBorder="1"/>
    <xf numFmtId="0" fontId="1" fillId="0" borderId="0" xfId="1" applyFill="1" applyBorder="1"/>
    <xf numFmtId="0" fontId="1" fillId="0" borderId="5" xfId="1" applyBorder="1"/>
    <xf numFmtId="0" fontId="0" fillId="0" borderId="0" xfId="0" applyFill="1" applyBorder="1"/>
    <xf numFmtId="0" fontId="1" fillId="2" borderId="4" xfId="1" applyFont="1" applyFill="1" applyBorder="1"/>
    <xf numFmtId="0" fontId="1" fillId="2" borderId="0" xfId="1" applyFont="1" applyFill="1" applyBorder="1"/>
    <xf numFmtId="0" fontId="1" fillId="2" borderId="4" xfId="1" applyFill="1" applyBorder="1"/>
    <xf numFmtId="0" fontId="1" fillId="2" borderId="0" xfId="1" applyFill="1" applyBorder="1"/>
    <xf numFmtId="0" fontId="1" fillId="0" borderId="6" xfId="1" applyFont="1" applyBorder="1"/>
    <xf numFmtId="0" fontId="1" fillId="0" borderId="7" xfId="1" applyBorder="1"/>
    <xf numFmtId="0" fontId="1" fillId="0" borderId="8" xfId="1" applyBorder="1"/>
    <xf numFmtId="0" fontId="1" fillId="0" borderId="0" xfId="1" applyFont="1" applyBorder="1"/>
    <xf numFmtId="0" fontId="1" fillId="0" borderId="0" xfId="1" applyBorder="1"/>
    <xf numFmtId="0" fontId="1" fillId="0" borderId="4" xfId="1" applyBorder="1"/>
    <xf numFmtId="2" fontId="1" fillId="0" borderId="0" xfId="1" applyNumberFormat="1" applyBorder="1"/>
    <xf numFmtId="1" fontId="1" fillId="0" borderId="0" xfId="1" applyNumberFormat="1"/>
    <xf numFmtId="1" fontId="1" fillId="0" borderId="0" xfId="1" applyNumberFormat="1" applyBorder="1"/>
    <xf numFmtId="0" fontId="1" fillId="0" borderId="0" xfId="1" applyFont="1"/>
    <xf numFmtId="0" fontId="1" fillId="3" borderId="0" xfId="1" applyFill="1"/>
    <xf numFmtId="0" fontId="1" fillId="0" borderId="9" xfId="1" applyBorder="1"/>
    <xf numFmtId="164" fontId="1" fillId="0" borderId="10" xfId="1" applyNumberFormat="1" applyBorder="1"/>
    <xf numFmtId="0" fontId="1" fillId="0" borderId="11" xfId="1" applyBorder="1"/>
    <xf numFmtId="165" fontId="0" fillId="0" borderId="0" xfId="0" applyNumberFormat="1" applyBorder="1"/>
    <xf numFmtId="166" fontId="0" fillId="0" borderId="0" xfId="0" applyNumberFormat="1" applyBorder="1"/>
    <xf numFmtId="166" fontId="1" fillId="0" borderId="0" xfId="1" applyNumberFormat="1" applyBorder="1"/>
    <xf numFmtId="0" fontId="1" fillId="0" borderId="5" xfId="1" applyFill="1" applyBorder="1"/>
    <xf numFmtId="164" fontId="1" fillId="0" borderId="0" xfId="1" applyNumberFormat="1" applyBorder="1"/>
    <xf numFmtId="166" fontId="1" fillId="0" borderId="0" xfId="1" applyNumberFormat="1"/>
    <xf numFmtId="0" fontId="1" fillId="0" borderId="0" xfId="1" applyFont="1" applyFill="1"/>
    <xf numFmtId="0" fontId="1" fillId="0" borderId="10" xfId="1" applyBorder="1"/>
    <xf numFmtId="0" fontId="0" fillId="5" borderId="0" xfId="0" applyFill="1"/>
    <xf numFmtId="164" fontId="1" fillId="0" borderId="4" xfId="1" applyNumberFormat="1" applyBorder="1"/>
    <xf numFmtId="1" fontId="1" fillId="0" borderId="0" xfId="1" applyNumberFormat="1" applyFill="1"/>
    <xf numFmtId="2" fontId="1" fillId="0" borderId="0" xfId="1" applyNumberFormat="1"/>
    <xf numFmtId="164" fontId="1" fillId="0" borderId="5" xfId="1" applyNumberFormat="1" applyBorder="1"/>
    <xf numFmtId="165" fontId="1" fillId="0" borderId="0" xfId="1" applyNumberFormat="1"/>
    <xf numFmtId="166" fontId="2" fillId="0" borderId="0" xfId="1" applyNumberFormat="1" applyFont="1"/>
    <xf numFmtId="166" fontId="1" fillId="2" borderId="0" xfId="1" applyNumberFormat="1" applyFill="1"/>
    <xf numFmtId="2" fontId="3" fillId="0" borderId="0" xfId="1" applyNumberFormat="1" applyFont="1"/>
    <xf numFmtId="164" fontId="3" fillId="0" borderId="0" xfId="1" applyNumberFormat="1" applyFont="1" applyFill="1"/>
    <xf numFmtId="0" fontId="3" fillId="5" borderId="0" xfId="0" applyFont="1" applyFill="1"/>
    <xf numFmtId="165" fontId="3" fillId="5" borderId="0" xfId="0" applyNumberFormat="1" applyFont="1" applyFill="1"/>
    <xf numFmtId="166" fontId="3" fillId="0" borderId="0" xfId="1" applyNumberFormat="1" applyFont="1" applyFill="1"/>
    <xf numFmtId="165" fontId="3" fillId="0" borderId="0" xfId="1" applyNumberFormat="1" applyFont="1" applyFill="1"/>
    <xf numFmtId="0" fontId="3" fillId="0" borderId="0" xfId="1" applyFont="1" applyFill="1"/>
    <xf numFmtId="164" fontId="1" fillId="0" borderId="9" xfId="1" applyNumberFormat="1" applyBorder="1"/>
    <xf numFmtId="164" fontId="1" fillId="0" borderId="11" xfId="1" applyNumberFormat="1" applyBorder="1"/>
    <xf numFmtId="167" fontId="1" fillId="0" borderId="0" xfId="1" applyNumberFormat="1"/>
    <xf numFmtId="164" fontId="1" fillId="0" borderId="0" xfId="1" applyNumberFormat="1" applyFill="1"/>
    <xf numFmtId="168" fontId="1" fillId="0" borderId="0" xfId="1" applyNumberFormat="1"/>
    <xf numFmtId="166" fontId="1" fillId="0" borderId="4" xfId="1" applyNumberFormat="1" applyFill="1" applyBorder="1"/>
    <xf numFmtId="165" fontId="1" fillId="0" borderId="0" xfId="1" applyNumberFormat="1" applyFill="1" applyBorder="1"/>
    <xf numFmtId="166" fontId="1" fillId="0" borderId="0" xfId="1" applyNumberFormat="1" applyFill="1" applyBorder="1"/>
    <xf numFmtId="0" fontId="1" fillId="4" borderId="4" xfId="1" applyFill="1" applyBorder="1"/>
    <xf numFmtId="1" fontId="1" fillId="4" borderId="0" xfId="1" applyNumberFormat="1" applyFill="1" applyBorder="1"/>
    <xf numFmtId="0" fontId="2" fillId="0" borderId="1" xfId="1" applyFont="1" applyFill="1" applyBorder="1"/>
    <xf numFmtId="0" fontId="2" fillId="0" borderId="2" xfId="1" applyFont="1" applyFill="1" applyBorder="1"/>
    <xf numFmtId="164" fontId="1" fillId="0" borderId="0" xfId="1" applyNumberFormat="1" applyFill="1" applyBorder="1"/>
    <xf numFmtId="2" fontId="1" fillId="0" borderId="0" xfId="1" applyNumberFormat="1" applyFill="1" applyBorder="1"/>
    <xf numFmtId="0" fontId="1" fillId="0" borderId="9" xfId="1" applyFill="1" applyBorder="1"/>
    <xf numFmtId="2" fontId="1" fillId="0" borderId="10" xfId="1" applyNumberFormat="1" applyFill="1" applyBorder="1"/>
    <xf numFmtId="0" fontId="1" fillId="0" borderId="10" xfId="1" applyFill="1" applyBorder="1"/>
    <xf numFmtId="0" fontId="1" fillId="4" borderId="0" xfId="1" applyFill="1" applyBorder="1"/>
    <xf numFmtId="0" fontId="1" fillId="4" borderId="0" xfId="1" applyFont="1" applyFill="1" applyBorder="1"/>
    <xf numFmtId="0" fontId="1" fillId="0" borderId="0" xfId="0" applyFont="1" applyBorder="1"/>
    <xf numFmtId="0" fontId="1" fillId="6" borderId="0" xfId="1" applyFill="1" applyBorder="1"/>
    <xf numFmtId="0" fontId="2" fillId="0" borderId="0" xfId="1" applyFont="1" applyBorder="1"/>
    <xf numFmtId="0" fontId="1" fillId="0" borderId="1" xfId="1" applyFill="1" applyBorder="1"/>
    <xf numFmtId="0" fontId="1" fillId="0" borderId="2" xfId="1" applyFill="1" applyBorder="1"/>
    <xf numFmtId="0" fontId="1" fillId="4" borderId="4" xfId="1" applyFont="1" applyFill="1" applyBorder="1"/>
    <xf numFmtId="166" fontId="0" fillId="0" borderId="10" xfId="0" applyNumberFormat="1" applyBorder="1"/>
    <xf numFmtId="0" fontId="1" fillId="7" borderId="0" xfId="1" applyFill="1"/>
    <xf numFmtId="0" fontId="1" fillId="7" borderId="0" xfId="1" applyFill="1" applyBorder="1"/>
    <xf numFmtId="166" fontId="0" fillId="7" borderId="0" xfId="0" applyNumberFormat="1" applyFill="1" applyBorder="1"/>
    <xf numFmtId="0" fontId="1" fillId="7" borderId="0" xfId="1" applyFont="1" applyFill="1"/>
    <xf numFmtId="0" fontId="0" fillId="7" borderId="0" xfId="0" applyFill="1"/>
    <xf numFmtId="2" fontId="1" fillId="7" borderId="0" xfId="1" applyNumberFormat="1" applyFill="1"/>
    <xf numFmtId="166" fontId="1" fillId="7" borderId="0" xfId="1" applyNumberFormat="1" applyFill="1"/>
    <xf numFmtId="1" fontId="1" fillId="7" borderId="0" xfId="1" applyNumberFormat="1" applyFill="1"/>
    <xf numFmtId="164" fontId="1" fillId="7" borderId="0" xfId="1" applyNumberFormat="1" applyFill="1"/>
    <xf numFmtId="0" fontId="1" fillId="0" borderId="0" xfId="1" applyFont="1" applyFill="1" applyBorder="1"/>
    <xf numFmtId="0" fontId="1" fillId="0" borderId="1" xfId="1" applyFont="1" applyFill="1" applyBorder="1"/>
    <xf numFmtId="0" fontId="1" fillId="0" borderId="3" xfId="1" applyFill="1" applyBorder="1"/>
    <xf numFmtId="0" fontId="0" fillId="0" borderId="5" xfId="0" applyFill="1" applyBorder="1"/>
    <xf numFmtId="0" fontId="1" fillId="0" borderId="2" xfId="1" applyFont="1" applyBorder="1"/>
    <xf numFmtId="164" fontId="1" fillId="0" borderId="0" xfId="1" applyNumberFormat="1" applyBorder="1" applyAlignment="1">
      <alignment horizontal="center"/>
    </xf>
    <xf numFmtId="0" fontId="1" fillId="0" borderId="0" xfId="1" applyBorder="1" applyAlignment="1">
      <alignment horizontal="center"/>
    </xf>
    <xf numFmtId="169" fontId="1" fillId="0" borderId="0" xfId="1" applyNumberFormat="1" applyBorder="1" applyAlignment="1">
      <alignment horizontal="center"/>
    </xf>
    <xf numFmtId="0" fontId="1" fillId="0" borderId="12" xfId="1" applyFont="1" applyFill="1" applyBorder="1"/>
    <xf numFmtId="0" fontId="1" fillId="0" borderId="12" xfId="1" applyFont="1" applyBorder="1"/>
    <xf numFmtId="0" fontId="1" fillId="0" borderId="12" xfId="1" applyBorder="1"/>
    <xf numFmtId="1" fontId="1" fillId="0" borderId="12" xfId="1" applyNumberFormat="1" applyBorder="1"/>
    <xf numFmtId="0" fontId="1" fillId="7" borderId="12" xfId="1" applyFill="1" applyBorder="1"/>
    <xf numFmtId="0" fontId="1" fillId="0" borderId="12" xfId="1" applyFill="1" applyBorder="1"/>
    <xf numFmtId="0" fontId="3" fillId="0" borderId="12" xfId="1" applyFont="1" applyFill="1" applyBorder="1"/>
  </cellXfs>
  <cellStyles count="2">
    <cellStyle name="Normal" xfId="0" builtinId="0"/>
    <cellStyle name="Normal 2" xfId="1" xr:uid="{50DEC911-3FF0-4C02-B21A-F953BE88D6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A5CCE-5DB4-4E1F-9063-049C01FB3E6D}">
  <dimension ref="C1:AX171"/>
  <sheetViews>
    <sheetView topLeftCell="A2" workbookViewId="0">
      <selection activeCell="C46" sqref="C46"/>
    </sheetView>
  </sheetViews>
  <sheetFormatPr baseColWidth="10" defaultColWidth="9.6640625" defaultRowHeight="13" x14ac:dyDescent="0.15"/>
  <cols>
    <col min="1" max="2" width="9.6640625" style="1"/>
    <col min="3" max="3" width="17.1640625" style="1" customWidth="1"/>
    <col min="4" max="4" width="9.6640625" style="1"/>
    <col min="5" max="5" width="13.33203125" style="1" bestFit="1" customWidth="1"/>
    <col min="6" max="32" width="9.6640625" style="1"/>
    <col min="33" max="34" width="10.33203125" style="1" bestFit="1" customWidth="1"/>
    <col min="35" max="16384" width="9.6640625" style="1"/>
  </cols>
  <sheetData>
    <row r="1" spans="3:7" x14ac:dyDescent="0.15">
      <c r="C1" s="1" t="s">
        <v>0</v>
      </c>
    </row>
    <row r="2" spans="3:7" x14ac:dyDescent="0.15">
      <c r="C2" s="1" t="s">
        <v>1</v>
      </c>
    </row>
    <row r="3" spans="3:7" x14ac:dyDescent="0.15">
      <c r="C3" s="1" t="s">
        <v>2</v>
      </c>
    </row>
    <row r="5" spans="3:7" x14ac:dyDescent="0.15">
      <c r="C5" s="1" t="s">
        <v>3</v>
      </c>
      <c r="E5" s="1">
        <v>4.5999999999999996</v>
      </c>
    </row>
    <row r="6" spans="3:7" x14ac:dyDescent="0.15">
      <c r="C6" s="1" t="s">
        <v>4</v>
      </c>
      <c r="E6" s="1">
        <v>5.0999999999999996</v>
      </c>
      <c r="G6" s="1">
        <v>500</v>
      </c>
    </row>
    <row r="7" spans="3:7" x14ac:dyDescent="0.15">
      <c r="C7" s="1" t="s">
        <v>5</v>
      </c>
      <c r="E7" s="1">
        <v>2.5</v>
      </c>
    </row>
    <row r="8" spans="3:7" x14ac:dyDescent="0.15">
      <c r="C8" s="1" t="s">
        <v>6</v>
      </c>
      <c r="E8" s="1">
        <v>1</v>
      </c>
    </row>
    <row r="9" spans="3:7" x14ac:dyDescent="0.15">
      <c r="C9" s="1" t="s">
        <v>7</v>
      </c>
      <c r="E9" s="1">
        <v>1</v>
      </c>
    </row>
    <row r="11" spans="3:7" x14ac:dyDescent="0.15">
      <c r="C11" s="1" t="s">
        <v>8</v>
      </c>
      <c r="E11" s="1">
        <v>6321</v>
      </c>
      <c r="F11" s="1" t="s">
        <v>9</v>
      </c>
    </row>
    <row r="12" spans="3:7" x14ac:dyDescent="0.15">
      <c r="C12" s="1" t="s">
        <v>10</v>
      </c>
    </row>
    <row r="13" spans="3:7" x14ac:dyDescent="0.15">
      <c r="C13" s="1" t="s">
        <v>8</v>
      </c>
    </row>
    <row r="14" spans="3:7" x14ac:dyDescent="0.15">
      <c r="C14" s="1" t="s">
        <v>11</v>
      </c>
    </row>
    <row r="15" spans="3:7" x14ac:dyDescent="0.15">
      <c r="C15" s="1" t="s">
        <v>12</v>
      </c>
    </row>
    <row r="16" spans="3:7" x14ac:dyDescent="0.15">
      <c r="C16" s="1" t="s">
        <v>13</v>
      </c>
    </row>
    <row r="17" spans="3:16" x14ac:dyDescent="0.15">
      <c r="C17" s="1" t="s">
        <v>14</v>
      </c>
    </row>
    <row r="18" spans="3:16" x14ac:dyDescent="0.15">
      <c r="C18" s="1" t="s">
        <v>15</v>
      </c>
    </row>
    <row r="19" spans="3:16" x14ac:dyDescent="0.15">
      <c r="C19" s="1" t="s">
        <v>16</v>
      </c>
    </row>
    <row r="21" spans="3:16" x14ac:dyDescent="0.15">
      <c r="C21" s="1" t="s">
        <v>17</v>
      </c>
      <c r="E21" s="1">
        <f>SUM(P26:P32)/E11</f>
        <v>1.1628917645821355</v>
      </c>
    </row>
    <row r="22" spans="3:16" x14ac:dyDescent="0.15">
      <c r="C22" s="1" t="s">
        <v>18</v>
      </c>
      <c r="E22" s="1">
        <v>1</v>
      </c>
    </row>
    <row r="23" spans="3:16" x14ac:dyDescent="0.15">
      <c r="E23" s="1" t="s">
        <v>19</v>
      </c>
      <c r="K23" s="1" t="s">
        <v>20</v>
      </c>
    </row>
    <row r="24" spans="3:16" x14ac:dyDescent="0.15">
      <c r="H24" s="1" t="s">
        <v>21</v>
      </c>
      <c r="I24" s="1" t="s">
        <v>22</v>
      </c>
      <c r="K24" s="1" t="s">
        <v>23</v>
      </c>
      <c r="L24" s="1" t="s">
        <v>24</v>
      </c>
      <c r="O24" s="1" t="s">
        <v>21</v>
      </c>
    </row>
    <row r="25" spans="3:16" x14ac:dyDescent="0.15">
      <c r="C25" s="1" t="s">
        <v>25</v>
      </c>
      <c r="D25" s="1" t="s">
        <v>26</v>
      </c>
      <c r="E25" s="1" t="s">
        <v>27</v>
      </c>
      <c r="F25" s="1" t="s">
        <v>28</v>
      </c>
      <c r="H25" s="1" t="s">
        <v>29</v>
      </c>
      <c r="I25" s="1" t="s">
        <v>29</v>
      </c>
      <c r="N25" s="1" t="s">
        <v>30</v>
      </c>
      <c r="O25" s="1" t="s">
        <v>31</v>
      </c>
      <c r="P25" s="1" t="s">
        <v>32</v>
      </c>
    </row>
    <row r="26" spans="3:16" x14ac:dyDescent="0.15">
      <c r="C26" s="1">
        <v>1</v>
      </c>
      <c r="D26" s="2">
        <v>1</v>
      </c>
      <c r="E26" s="1">
        <f t="shared" ref="E26:E31" si="0">E27*$E$5*F27/(F26*$E$6)</f>
        <v>3403.3900420867512</v>
      </c>
      <c r="F26" s="1">
        <f>E8</f>
        <v>1</v>
      </c>
      <c r="G26" s="1">
        <f>F$32/E$6^6</f>
        <v>0.359223494835131</v>
      </c>
      <c r="H26" s="1">
        <f t="shared" ref="H26:H31" si="1">MIN(E27*2,E26)</f>
        <v>1479.7348009072834</v>
      </c>
      <c r="I26" s="1">
        <f t="shared" ref="I26:I32" si="2">E26-H26</f>
        <v>1923.6552411794678</v>
      </c>
      <c r="N26" s="1">
        <f>E26*F26</f>
        <v>3403.3900420867512</v>
      </c>
      <c r="O26" s="1">
        <f t="shared" ref="O26:O32" si="3">H26*F26</f>
        <v>1479.7348009072834</v>
      </c>
      <c r="P26" s="1">
        <f t="shared" ref="P26:P32" si="4">E26*D26</f>
        <v>3403.3900420867512</v>
      </c>
    </row>
    <row r="27" spans="3:16" x14ac:dyDescent="0.15">
      <c r="C27" s="1">
        <v>2</v>
      </c>
      <c r="D27" s="3">
        <f t="shared" ref="D27:D32" si="5">D26*$E$7*F27/(F26*$E$6)</f>
        <v>2.5</v>
      </c>
      <c r="E27" s="1">
        <f t="shared" si="0"/>
        <v>739.86740045364172</v>
      </c>
      <c r="F27" s="1">
        <f t="shared" ref="F27:F31" si="6">F26*E$6</f>
        <v>5.0999999999999996</v>
      </c>
      <c r="G27" s="1">
        <f>F$32/E$6^5</f>
        <v>1.8320398236591682</v>
      </c>
      <c r="H27" s="1">
        <f t="shared" si="1"/>
        <v>321.68147845810512</v>
      </c>
      <c r="I27" s="1">
        <f t="shared" si="2"/>
        <v>418.1859219955366</v>
      </c>
      <c r="K27" s="1">
        <f>(E26-1)/(2*E27-1)</f>
        <v>2.3008791299151152</v>
      </c>
      <c r="L27" s="1">
        <f t="shared" ref="L27:L32" si="7">E27*K27</f>
        <v>1702.3454606083333</v>
      </c>
      <c r="N27" s="1">
        <f t="shared" ref="N27:N32" si="8">E27*F27</f>
        <v>3773.3237423135724</v>
      </c>
      <c r="O27" s="1">
        <f t="shared" si="3"/>
        <v>1640.575540136336</v>
      </c>
      <c r="P27" s="1">
        <f t="shared" si="4"/>
        <v>1849.6685011341042</v>
      </c>
    </row>
    <row r="28" spans="3:16" x14ac:dyDescent="0.15">
      <c r="C28" s="1">
        <v>3</v>
      </c>
      <c r="D28" s="3">
        <f t="shared" si="5"/>
        <v>6.2500000000000009</v>
      </c>
      <c r="E28" s="1">
        <f t="shared" si="0"/>
        <v>160.84073922905256</v>
      </c>
      <c r="F28" s="1">
        <f t="shared" si="6"/>
        <v>26.009999999999998</v>
      </c>
      <c r="G28" s="1">
        <f>F$32/E$6^4</f>
        <v>9.3434031006617566</v>
      </c>
      <c r="H28" s="1">
        <f t="shared" si="1"/>
        <v>69.930756186544599</v>
      </c>
      <c r="I28" s="1">
        <f t="shared" si="2"/>
        <v>90.90998304250796</v>
      </c>
      <c r="K28" s="1">
        <f>K27*(E27-1)/(2*E28-1)</f>
        <v>5.3013494563282597</v>
      </c>
      <c r="L28" s="1">
        <f t="shared" si="7"/>
        <v>852.67296546737316</v>
      </c>
      <c r="N28" s="1">
        <f t="shared" si="8"/>
        <v>4183.4676273476571</v>
      </c>
      <c r="O28" s="1">
        <f t="shared" si="3"/>
        <v>1818.8989684120249</v>
      </c>
      <c r="P28" s="1">
        <f t="shared" si="4"/>
        <v>1005.2546201815786</v>
      </c>
    </row>
    <row r="29" spans="3:16" x14ac:dyDescent="0.15">
      <c r="C29" s="1">
        <v>4</v>
      </c>
      <c r="D29" s="3">
        <f t="shared" si="5"/>
        <v>15.625000000000002</v>
      </c>
      <c r="E29" s="1">
        <f t="shared" si="0"/>
        <v>34.9653780932723</v>
      </c>
      <c r="F29" s="1">
        <f t="shared" si="6"/>
        <v>132.65099999999998</v>
      </c>
      <c r="G29" s="1">
        <f>F$32/E$6^3</f>
        <v>47.651355813374956</v>
      </c>
      <c r="H29" s="1">
        <f t="shared" si="1"/>
        <v>15.20233830142274</v>
      </c>
      <c r="I29" s="1">
        <f t="shared" si="2"/>
        <v>19.763039791849558</v>
      </c>
      <c r="K29" s="1">
        <f>K28*(E28-1)/(2*E29-1)</f>
        <v>12.293084580674501</v>
      </c>
      <c r="L29" s="1">
        <f t="shared" si="7"/>
        <v>429.83235029585967</v>
      </c>
      <c r="N29" s="1">
        <f t="shared" si="8"/>
        <v>4638.1923694506631</v>
      </c>
      <c r="O29" s="1">
        <f t="shared" si="3"/>
        <v>2016.6053780220277</v>
      </c>
      <c r="P29" s="1">
        <f t="shared" si="4"/>
        <v>546.33403270737972</v>
      </c>
    </row>
    <row r="30" spans="3:16" x14ac:dyDescent="0.15">
      <c r="C30" s="1">
        <v>5</v>
      </c>
      <c r="D30" s="3">
        <f t="shared" si="5"/>
        <v>39.062500000000007</v>
      </c>
      <c r="E30" s="1">
        <f t="shared" si="0"/>
        <v>7.6011691507113701</v>
      </c>
      <c r="F30" s="1">
        <f t="shared" si="6"/>
        <v>676.52009999999984</v>
      </c>
      <c r="G30" s="1">
        <f>F$32/E$6^2</f>
        <v>243.02191464821223</v>
      </c>
      <c r="H30" s="1">
        <f t="shared" si="1"/>
        <v>3.3048561524832047</v>
      </c>
      <c r="I30" s="1">
        <f t="shared" si="2"/>
        <v>4.2963129982281654</v>
      </c>
      <c r="K30" s="1">
        <f>K29*(E29-1)/(2*E30-1)</f>
        <v>29.399332479874641</v>
      </c>
      <c r="L30" s="1">
        <f t="shared" si="7"/>
        <v>223.46929909752993</v>
      </c>
      <c r="N30" s="1">
        <f t="shared" si="8"/>
        <v>5142.3437139561702</v>
      </c>
      <c r="O30" s="1">
        <f t="shared" si="3"/>
        <v>2235.8016147635526</v>
      </c>
      <c r="P30" s="1">
        <f t="shared" si="4"/>
        <v>296.92066994966297</v>
      </c>
    </row>
    <row r="31" spans="3:16" x14ac:dyDescent="0.15">
      <c r="C31" s="1">
        <v>6</v>
      </c>
      <c r="D31" s="3">
        <f t="shared" si="5"/>
        <v>97.656250000000014</v>
      </c>
      <c r="E31" s="1">
        <f t="shared" si="0"/>
        <v>1.6524280762416024</v>
      </c>
      <c r="F31" s="1">
        <f t="shared" si="6"/>
        <v>3450.2525099999989</v>
      </c>
      <c r="G31" s="1">
        <f>F$32/E$6^2</f>
        <v>243.02191464821223</v>
      </c>
      <c r="H31" s="1">
        <f t="shared" si="1"/>
        <v>1.6524280762416024</v>
      </c>
      <c r="I31" s="1">
        <f t="shared" si="2"/>
        <v>0</v>
      </c>
      <c r="K31" s="1">
        <f>K30*(E30-1)/(2*E31-1)</f>
        <v>84.200467959168847</v>
      </c>
      <c r="L31" s="1">
        <f t="shared" si="7"/>
        <v>139.13521728841206</v>
      </c>
      <c r="N31" s="1">
        <f t="shared" si="8"/>
        <v>5701.2941176470586</v>
      </c>
      <c r="O31" s="1">
        <f t="shared" si="3"/>
        <v>5701.2941176470586</v>
      </c>
      <c r="P31" s="1">
        <f t="shared" si="4"/>
        <v>161.369929320469</v>
      </c>
    </row>
    <row r="32" spans="3:16" x14ac:dyDescent="0.15">
      <c r="C32" s="1">
        <v>7</v>
      </c>
      <c r="D32" s="3">
        <f t="shared" si="5"/>
        <v>87.701048543733165</v>
      </c>
      <c r="E32" s="2">
        <v>1</v>
      </c>
      <c r="F32" s="2">
        <f>E11</f>
        <v>6321</v>
      </c>
      <c r="G32" s="1">
        <f>F$32/E$6^2</f>
        <v>243.02191464821223</v>
      </c>
      <c r="H32" s="1">
        <f t="shared" ref="H32" si="9">E33*2</f>
        <v>0</v>
      </c>
      <c r="I32" s="1">
        <f t="shared" si="2"/>
        <v>1</v>
      </c>
      <c r="K32" s="1">
        <f>K31*(E31-1)/(2*E32-1)</f>
        <v>54.934749329243211</v>
      </c>
      <c r="L32" s="1">
        <f t="shared" si="7"/>
        <v>54.934749329243211</v>
      </c>
      <c r="N32" s="1">
        <f t="shared" si="8"/>
        <v>6321</v>
      </c>
      <c r="O32" s="1">
        <f t="shared" si="3"/>
        <v>0</v>
      </c>
      <c r="P32" s="1">
        <f t="shared" si="4"/>
        <v>87.701048543733165</v>
      </c>
    </row>
    <row r="33" spans="4:16" x14ac:dyDescent="0.15">
      <c r="F33" s="1">
        <f>F30*7.4^0.6</f>
        <v>2248.1212784508994</v>
      </c>
    </row>
    <row r="35" spans="4:16" x14ac:dyDescent="0.15">
      <c r="D35" s="1">
        <f>SUM(D26:D32)</f>
        <v>249.79479854373318</v>
      </c>
      <c r="P35" s="1">
        <f>SUM(P26:P32)</f>
        <v>7350.6388439236789</v>
      </c>
    </row>
    <row r="36" spans="4:16" x14ac:dyDescent="0.15">
      <c r="F36" s="1" t="s">
        <v>33</v>
      </c>
    </row>
    <row r="37" spans="4:16" x14ac:dyDescent="0.15">
      <c r="H37" s="1">
        <v>1</v>
      </c>
      <c r="I37" s="1">
        <v>2</v>
      </c>
      <c r="J37" s="1">
        <v>3</v>
      </c>
      <c r="K37" s="1">
        <v>4</v>
      </c>
      <c r="L37" s="1">
        <v>5</v>
      </c>
      <c r="M37" s="1">
        <v>6</v>
      </c>
      <c r="N37" s="1">
        <v>7</v>
      </c>
    </row>
    <row r="38" spans="4:16" x14ac:dyDescent="0.15">
      <c r="G38" s="1">
        <v>1</v>
      </c>
      <c r="I38" s="1">
        <f>L27/SUM($L27:$L32)</f>
        <v>0.50033812689042911</v>
      </c>
      <c r="J38" s="1">
        <f>L28/SUM($L27:$L32)</f>
        <v>0.25060999912414877</v>
      </c>
      <c r="K38" s="1">
        <f>L29/SUM($L27:$L32)</f>
        <v>0.12633247363733618</v>
      </c>
      <c r="L38" s="1">
        <f>L30/SUM($L27:$L32)</f>
        <v>6.568009438461439E-2</v>
      </c>
      <c r="M38" s="1">
        <f>L31/SUM($L27:$L32)</f>
        <v>4.08933765874408E-2</v>
      </c>
      <c r="N38" s="1">
        <f>L32/SUM($L27:$L32)</f>
        <v>1.6145929376030817E-2</v>
      </c>
      <c r="O38" s="1">
        <f t="shared" ref="O38:O43" si="10">SUM(I38:N38)</f>
        <v>0.99999999999999989</v>
      </c>
    </row>
    <row r="39" spans="4:16" x14ac:dyDescent="0.15">
      <c r="G39" s="1">
        <v>2</v>
      </c>
      <c r="J39" s="1">
        <f>L28/SUM($L28:$L32)</f>
        <v>0.50155917953978535</v>
      </c>
      <c r="K39" s="1">
        <f>L29/SUM($L28:$L32)</f>
        <v>0.25283592852727571</v>
      </c>
      <c r="L39" s="1">
        <f>L30/SUM($L28:$L32)</f>
        <v>0.13144908170772393</v>
      </c>
      <c r="M39" s="1">
        <f>L31/SUM($L28:$L32)</f>
        <v>8.1842099203901592E-2</v>
      </c>
      <c r="N39" s="1">
        <f>L32/SUM($L28:$L32)</f>
        <v>3.2313711021313356E-2</v>
      </c>
      <c r="O39" s="1">
        <f t="shared" si="10"/>
        <v>0.99999999999999989</v>
      </c>
    </row>
    <row r="40" spans="4:16" x14ac:dyDescent="0.15">
      <c r="G40" s="1">
        <v>3</v>
      </c>
      <c r="K40" s="1">
        <f>L29/SUM($L29:$L32)</f>
        <v>0.50725365609869222</v>
      </c>
      <c r="L40" s="1">
        <f>L30/SUM($L29:$L32)</f>
        <v>0.26372053875193424</v>
      </c>
      <c r="M40" s="1">
        <f>L31/SUM($L29:$L32)</f>
        <v>0.16419622118496655</v>
      </c>
      <c r="N40" s="1">
        <f>L32/SUM($L29:$L32)</f>
        <v>6.4829583964406912E-2</v>
      </c>
      <c r="O40" s="1">
        <f t="shared" si="10"/>
        <v>1</v>
      </c>
    </row>
    <row r="41" spans="4:16" x14ac:dyDescent="0.15">
      <c r="G41" s="1">
        <v>4</v>
      </c>
      <c r="L41" s="1">
        <f>IF(SUM($L30:$L32)=0,0,L30/SUM($L30:$L32))</f>
        <v>0.53520547035201316</v>
      </c>
      <c r="M41" s="1">
        <f>IF(SUM($L30:$L32)=0,0,L31/SUM($L30:$L32))</f>
        <v>0.33322666564087877</v>
      </c>
      <c r="N41" s="1">
        <f>IF(SUM($L30:$L32)=0,0,L32/SUM($L30:$L32))</f>
        <v>0.13156786400710796</v>
      </c>
      <c r="O41" s="1">
        <f t="shared" si="10"/>
        <v>0.99999999999999989</v>
      </c>
    </row>
    <row r="42" spans="4:16" x14ac:dyDescent="0.15">
      <c r="G42" s="1">
        <v>5</v>
      </c>
      <c r="M42" s="1">
        <f>IF(SUM($L31:L32)=0,0,L31/SUM($L31:L32))</f>
        <v>0.71693327779319782</v>
      </c>
      <c r="N42" s="1">
        <f>IF(SUM($L31:L32)=0,0,L32/SUM($L31:L32))</f>
        <v>0.28306672220680223</v>
      </c>
      <c r="O42" s="1">
        <f t="shared" si="10"/>
        <v>1</v>
      </c>
    </row>
    <row r="43" spans="4:16" x14ac:dyDescent="0.15">
      <c r="G43" s="1">
        <v>6</v>
      </c>
      <c r="N43" s="1">
        <f>IF(SUM($L32:L32) = 0,0,L32/SUM($L32:L32))</f>
        <v>1</v>
      </c>
      <c r="O43" s="1">
        <f t="shared" si="10"/>
        <v>1</v>
      </c>
    </row>
    <row r="44" spans="4:16" x14ac:dyDescent="0.15">
      <c r="G44" s="1">
        <v>7</v>
      </c>
    </row>
    <row r="46" spans="4:16" x14ac:dyDescent="0.15">
      <c r="F46" s="1" t="s">
        <v>34</v>
      </c>
    </row>
    <row r="48" spans="4:16" x14ac:dyDescent="0.15">
      <c r="H48" s="1">
        <v>1</v>
      </c>
      <c r="I48" s="1">
        <v>2</v>
      </c>
      <c r="J48" s="1">
        <v>3</v>
      </c>
      <c r="K48" s="1">
        <v>4</v>
      </c>
      <c r="L48" s="1">
        <v>5</v>
      </c>
      <c r="M48" s="1">
        <v>6</v>
      </c>
      <c r="N48" s="1">
        <v>7</v>
      </c>
    </row>
    <row r="49" spans="6:50" x14ac:dyDescent="0.15">
      <c r="G49" s="1">
        <v>1</v>
      </c>
      <c r="I49" s="1">
        <f t="shared" ref="I49:N49" si="11">$I26*I38</f>
        <v>962.47806015469155</v>
      </c>
      <c r="J49" s="1">
        <f t="shared" si="11"/>
        <v>482.08723830715064</v>
      </c>
      <c r="K49" s="1">
        <f t="shared" si="11"/>
        <v>243.0201250436287</v>
      </c>
      <c r="L49" s="1">
        <f t="shared" si="11"/>
        <v>126.3458578041256</v>
      </c>
      <c r="M49" s="1">
        <f t="shared" si="11"/>
        <v>78.664758201956232</v>
      </c>
      <c r="N49" s="1">
        <f t="shared" si="11"/>
        <v>31.059201667915215</v>
      </c>
      <c r="O49" s="1">
        <f t="shared" ref="O49:O54" si="12">SUM(I49:N49)</f>
        <v>1923.655241179468</v>
      </c>
    </row>
    <row r="50" spans="6:50" x14ac:dyDescent="0.15">
      <c r="G50" s="1">
        <v>2</v>
      </c>
      <c r="J50" s="1">
        <f>$I27*J39</f>
        <v>209.74498793117002</v>
      </c>
      <c r="K50" s="1">
        <f>$I27*K39</f>
        <v>105.73242588477639</v>
      </c>
      <c r="L50" s="1">
        <f>$I27*L39</f>
        <v>54.970155429411157</v>
      </c>
      <c r="M50" s="1">
        <f>$I27*M39</f>
        <v>34.225213713633757</v>
      </c>
      <c r="N50" s="1">
        <f>$I27*N39</f>
        <v>13.513139036545258</v>
      </c>
      <c r="O50" s="1">
        <f t="shared" si="12"/>
        <v>418.1859219955366</v>
      </c>
    </row>
    <row r="51" spans="6:50" x14ac:dyDescent="0.15">
      <c r="G51" s="1">
        <v>3</v>
      </c>
      <c r="K51" s="1">
        <f>$I28*K40</f>
        <v>46.114421274182277</v>
      </c>
      <c r="L51" s="1">
        <f>$I28*L40</f>
        <v>23.974829705899406</v>
      </c>
      <c r="M51" s="1">
        <f>$I28*M40</f>
        <v>14.927075683569194</v>
      </c>
      <c r="N51" s="1">
        <f>$I28*N40</f>
        <v>5.8936563788570782</v>
      </c>
      <c r="O51" s="1">
        <f t="shared" si="12"/>
        <v>90.90998304250796</v>
      </c>
    </row>
    <row r="52" spans="6:50" x14ac:dyDescent="0.15">
      <c r="G52" s="1">
        <v>4</v>
      </c>
      <c r="L52" s="1">
        <f>$I29*L41</f>
        <v>10.577287007382395</v>
      </c>
      <c r="M52" s="1">
        <f>$I29*M41</f>
        <v>6.5855718527660345</v>
      </c>
      <c r="N52" s="1">
        <f>$I29*N41</f>
        <v>2.600180931701126</v>
      </c>
      <c r="O52" s="1">
        <f t="shared" si="12"/>
        <v>19.763039791849554</v>
      </c>
    </row>
    <row r="53" spans="6:50" x14ac:dyDescent="0.15">
      <c r="G53" s="1">
        <v>5</v>
      </c>
      <c r="M53" s="1">
        <f>$I30*M42</f>
        <v>3.0801697602452398</v>
      </c>
      <c r="N53" s="1">
        <f>$I30*N42</f>
        <v>1.2161432379829258</v>
      </c>
      <c r="O53" s="1">
        <f t="shared" si="12"/>
        <v>4.2963129982281654</v>
      </c>
    </row>
    <row r="54" spans="6:50" x14ac:dyDescent="0.15">
      <c r="G54" s="1">
        <v>6</v>
      </c>
      <c r="N54" s="1">
        <f>$I31*N43</f>
        <v>0</v>
      </c>
      <c r="O54" s="1">
        <f t="shared" si="12"/>
        <v>0</v>
      </c>
    </row>
    <row r="55" spans="6:50" x14ac:dyDescent="0.15">
      <c r="G55" s="1">
        <v>7</v>
      </c>
      <c r="AB55" s="1">
        <f>H26/$X$59</f>
        <v>0.43478260869565227</v>
      </c>
    </row>
    <row r="56" spans="6:50" x14ac:dyDescent="0.15">
      <c r="AB56" s="1">
        <f>(R59-H26)/$X$59</f>
        <v>0.282799810851112</v>
      </c>
      <c r="AK56" s="1">
        <f>H26/R59</f>
        <v>0.60589919269519932</v>
      </c>
    </row>
    <row r="57" spans="6:50" x14ac:dyDescent="0.15">
      <c r="F57" s="1" t="s">
        <v>35</v>
      </c>
      <c r="Q57" s="1" t="s">
        <v>36</v>
      </c>
      <c r="Z57" s="4"/>
      <c r="AA57" s="4" t="s">
        <v>37</v>
      </c>
      <c r="AB57" s="4"/>
      <c r="AC57" s="4"/>
      <c r="AD57" s="4"/>
      <c r="AE57" s="4"/>
      <c r="AF57" s="4"/>
      <c r="AI57" s="4"/>
      <c r="AJ57" s="4" t="s">
        <v>38</v>
      </c>
      <c r="AK57" s="4"/>
      <c r="AL57" s="4"/>
      <c r="AM57" s="4"/>
      <c r="AN57" s="4"/>
      <c r="AO57" s="4"/>
    </row>
    <row r="58" spans="6:50" x14ac:dyDescent="0.15">
      <c r="H58" s="1">
        <v>1</v>
      </c>
      <c r="I58" s="1">
        <v>2</v>
      </c>
      <c r="J58" s="1">
        <v>3</v>
      </c>
      <c r="K58" s="1">
        <v>4</v>
      </c>
      <c r="L58" s="1">
        <v>5</v>
      </c>
      <c r="M58" s="1">
        <v>6</v>
      </c>
      <c r="N58" s="1">
        <v>7</v>
      </c>
      <c r="O58" s="1" t="s">
        <v>39</v>
      </c>
      <c r="Q58" s="1">
        <v>1</v>
      </c>
      <c r="R58" s="1">
        <v>2</v>
      </c>
      <c r="S58" s="1">
        <v>3</v>
      </c>
      <c r="T58" s="1">
        <v>4</v>
      </c>
      <c r="U58" s="1">
        <v>5</v>
      </c>
      <c r="V58" s="1">
        <v>6</v>
      </c>
      <c r="W58" s="1">
        <v>7</v>
      </c>
      <c r="Z58" s="4"/>
      <c r="AA58" s="4">
        <v>1</v>
      </c>
      <c r="AB58" s="4">
        <v>2</v>
      </c>
      <c r="AC58" s="4">
        <v>3</v>
      </c>
      <c r="AD58" s="4">
        <v>4</v>
      </c>
      <c r="AE58" s="4">
        <v>5</v>
      </c>
      <c r="AF58" s="4">
        <v>6</v>
      </c>
      <c r="AG58" s="4">
        <v>7</v>
      </c>
      <c r="AI58" s="4"/>
      <c r="AJ58" s="4">
        <v>1</v>
      </c>
      <c r="AK58" s="4">
        <v>2</v>
      </c>
      <c r="AL58" s="4">
        <v>3</v>
      </c>
      <c r="AM58" s="4">
        <v>4</v>
      </c>
      <c r="AN58" s="4">
        <v>5</v>
      </c>
      <c r="AO58" s="4">
        <v>6</v>
      </c>
      <c r="AP58" s="4">
        <v>7</v>
      </c>
    </row>
    <row r="59" spans="6:50" x14ac:dyDescent="0.15">
      <c r="G59" s="1">
        <v>1</v>
      </c>
      <c r="I59" s="1">
        <f>(I49+H26)/E27</f>
        <v>3.3008791299151148</v>
      </c>
      <c r="J59" s="1">
        <f>J49/E28</f>
        <v>2.9972955895248181</v>
      </c>
      <c r="K59" s="1">
        <f>K49/E29</f>
        <v>6.9503073696316839</v>
      </c>
      <c r="L59" s="1">
        <f>IF($E$30=0,0,L49/$E$30)</f>
        <v>16.621897934254136</v>
      </c>
      <c r="M59" s="1">
        <f>IF($E$31=0,0,M49/$E$31)</f>
        <v>47.605556534041014</v>
      </c>
      <c r="N59" s="1">
        <f>IF($E$32=0,0,N49/$E$32)</f>
        <v>31.059201667915215</v>
      </c>
      <c r="O59" s="1">
        <f t="shared" ref="O59:O64" si="13">SUM(I59:N59)</f>
        <v>108.53513822528198</v>
      </c>
      <c r="P59" s="1">
        <v>1</v>
      </c>
      <c r="R59" s="1">
        <f>I59*E27</f>
        <v>2442.2128610619748</v>
      </c>
      <c r="S59" s="1">
        <f>J59*E28</f>
        <v>482.08723830715064</v>
      </c>
      <c r="T59" s="1">
        <f>K59*E29</f>
        <v>243.0201250436287</v>
      </c>
      <c r="U59" s="1">
        <f>L59*E30</f>
        <v>126.34585780412559</v>
      </c>
      <c r="V59" s="1">
        <f>M59*E31</f>
        <v>78.664758201956232</v>
      </c>
      <c r="W59" s="1">
        <f>N59*E32</f>
        <v>31.059201667915215</v>
      </c>
      <c r="X59" s="1">
        <f t="shared" ref="X59:X64" si="14">SUM(R59:W59)</f>
        <v>3403.3900420867512</v>
      </c>
      <c r="Z59" s="4">
        <v>1</v>
      </c>
      <c r="AA59" s="5"/>
      <c r="AB59" s="5">
        <f>R59/$X59</f>
        <v>0.71758241954676427</v>
      </c>
      <c r="AC59" s="5">
        <f t="shared" ref="AC59:AG59" si="15">S59/$X59</f>
        <v>0.14164912993973625</v>
      </c>
      <c r="AD59" s="5">
        <f t="shared" si="15"/>
        <v>7.1405311186320444E-2</v>
      </c>
      <c r="AE59" s="5">
        <f t="shared" si="15"/>
        <v>3.7123531608695082E-2</v>
      </c>
      <c r="AF59" s="5">
        <f t="shared" si="15"/>
        <v>2.3113647636379579E-2</v>
      </c>
      <c r="AG59" s="5">
        <f t="shared" si="15"/>
        <v>9.1259600821043726E-3</v>
      </c>
      <c r="AI59" s="4">
        <v>1</v>
      </c>
      <c r="AJ59" s="5"/>
      <c r="AK59" s="5">
        <f>H26/X59</f>
        <v>0.43478260869565227</v>
      </c>
      <c r="AL59" s="5"/>
      <c r="AM59" s="5"/>
      <c r="AN59" s="5"/>
      <c r="AO59" s="5"/>
      <c r="AP59" s="5"/>
      <c r="AR59" s="6">
        <f>AB59-AK59</f>
        <v>0.282799810851112</v>
      </c>
      <c r="AS59" s="6">
        <f t="shared" ref="AR59:AW64" si="16">AC59-AL59</f>
        <v>0.14164912993973625</v>
      </c>
      <c r="AT59" s="6">
        <f t="shared" si="16"/>
        <v>7.1405311186320444E-2</v>
      </c>
      <c r="AU59" s="6">
        <f t="shared" si="16"/>
        <v>3.7123531608695082E-2</v>
      </c>
      <c r="AV59" s="6">
        <f t="shared" si="16"/>
        <v>2.3113647636379579E-2</v>
      </c>
      <c r="AW59" s="6">
        <f t="shared" si="16"/>
        <v>9.1259600821043726E-3</v>
      </c>
    </row>
    <row r="60" spans="6:50" x14ac:dyDescent="0.15">
      <c r="G60" s="1">
        <v>2</v>
      </c>
      <c r="J60" s="1">
        <f>(J50+H27)/E28</f>
        <v>3.3040538668034416</v>
      </c>
      <c r="K60" s="1">
        <f>K50/E29</f>
        <v>3.0239177051862169</v>
      </c>
      <c r="L60" s="1">
        <f t="shared" ref="L60:L61" si="17">IF($E$30=0,0,L50/$E$30)</f>
        <v>7.2318026792321373</v>
      </c>
      <c r="M60" s="1">
        <f t="shared" ref="M60:M62" si="18">IF($E$31=0,0,M50/$E$31)</f>
        <v>20.712074677088498</v>
      </c>
      <c r="N60" s="1">
        <f t="shared" ref="N60:N63" si="19">IF($E$32=0,0,N50/$E$32)</f>
        <v>13.513139036545258</v>
      </c>
      <c r="O60" s="1">
        <f t="shared" si="13"/>
        <v>47.784987964855546</v>
      </c>
      <c r="P60" s="1">
        <v>2</v>
      </c>
      <c r="S60" s="1">
        <f>J60*E28</f>
        <v>531.42646638927511</v>
      </c>
      <c r="T60" s="1">
        <f>K60*E29</f>
        <v>105.73242588477639</v>
      </c>
      <c r="U60" s="1">
        <f>L60*E30</f>
        <v>54.970155429411157</v>
      </c>
      <c r="V60" s="1">
        <f>M60*E31</f>
        <v>34.225213713633757</v>
      </c>
      <c r="W60" s="1">
        <f>N60*E32</f>
        <v>13.513139036545258</v>
      </c>
      <c r="X60" s="1">
        <f t="shared" si="14"/>
        <v>739.86740045364161</v>
      </c>
      <c r="Z60" s="4">
        <v>2</v>
      </c>
      <c r="AA60" s="5"/>
      <c r="AB60" s="5"/>
      <c r="AC60" s="5">
        <f>S60/$X60</f>
        <v>0.71827257973987879</v>
      </c>
      <c r="AD60" s="5">
        <f>T60/$X60</f>
        <v>0.14290726395019934</v>
      </c>
      <c r="AE60" s="5">
        <f>U60/$X60</f>
        <v>7.4297307052191799E-2</v>
      </c>
      <c r="AF60" s="5">
        <f>V60/$X60</f>
        <v>4.6258577810900904E-2</v>
      </c>
      <c r="AG60" s="5">
        <f>W60/$X60</f>
        <v>1.8264271446829291E-2</v>
      </c>
      <c r="AI60" s="4">
        <v>2</v>
      </c>
      <c r="AJ60" s="5"/>
      <c r="AK60" s="5"/>
      <c r="AL60" s="5">
        <f>H27/X60</f>
        <v>0.43478260869565227</v>
      </c>
      <c r="AM60" s="5"/>
      <c r="AN60" s="5"/>
      <c r="AO60" s="5"/>
      <c r="AP60" s="5"/>
      <c r="AR60" s="6">
        <f t="shared" si="16"/>
        <v>0</v>
      </c>
      <c r="AS60" s="6">
        <f t="shared" si="16"/>
        <v>0.28348997104422652</v>
      </c>
      <c r="AT60" s="6">
        <f t="shared" si="16"/>
        <v>0.14290726395019934</v>
      </c>
      <c r="AU60" s="6">
        <f t="shared" si="16"/>
        <v>7.4297307052191799E-2</v>
      </c>
      <c r="AV60" s="6">
        <f t="shared" si="16"/>
        <v>4.6258577810900904E-2</v>
      </c>
      <c r="AW60" s="6">
        <f t="shared" si="16"/>
        <v>1.8264271446829291E-2</v>
      </c>
    </row>
    <row r="61" spans="6:50" x14ac:dyDescent="0.15">
      <c r="G61" s="1">
        <v>3</v>
      </c>
      <c r="K61" s="1">
        <f>(K51+H28)/E29</f>
        <v>3.3188595058565995</v>
      </c>
      <c r="L61" s="1">
        <f t="shared" si="17"/>
        <v>3.1540976434731327</v>
      </c>
      <c r="M61" s="1">
        <f t="shared" si="18"/>
        <v>9.0334193047121154</v>
      </c>
      <c r="N61" s="1">
        <f t="shared" si="19"/>
        <v>5.8936563788570782</v>
      </c>
      <c r="O61" s="1">
        <f t="shared" si="13"/>
        <v>21.400032832898926</v>
      </c>
      <c r="P61" s="1">
        <v>3</v>
      </c>
      <c r="T61" s="1">
        <f>K61*E29</f>
        <v>116.04517746072688</v>
      </c>
      <c r="U61" s="1">
        <f>L61*E30</f>
        <v>23.974829705899406</v>
      </c>
      <c r="V61" s="1">
        <f>M61*E31</f>
        <v>14.927075683569194</v>
      </c>
      <c r="W61" s="1">
        <f>N61*E32</f>
        <v>5.8936563788570782</v>
      </c>
      <c r="X61" s="1">
        <f t="shared" si="14"/>
        <v>160.84073922905256</v>
      </c>
      <c r="Z61" s="4">
        <v>3</v>
      </c>
      <c r="AA61" s="5"/>
      <c r="AB61" s="5"/>
      <c r="AC61" s="5"/>
      <c r="AD61" s="5">
        <f>T61/$X61</f>
        <v>0.7214911969253478</v>
      </c>
      <c r="AE61" s="5">
        <f>U61/$X61</f>
        <v>0.14905943494674542</v>
      </c>
      <c r="AF61" s="5">
        <f>V61/$X61</f>
        <v>9.2806559800198474E-2</v>
      </c>
      <c r="AG61" s="5">
        <f>W61/$X61</f>
        <v>3.6642808327708248E-2</v>
      </c>
      <c r="AI61" s="4">
        <v>3</v>
      </c>
      <c r="AJ61" s="5"/>
      <c r="AK61" s="5"/>
      <c r="AL61" s="5"/>
      <c r="AM61" s="5">
        <f>H28/X61</f>
        <v>0.43478260869565222</v>
      </c>
      <c r="AN61" s="5"/>
      <c r="AO61" s="5"/>
      <c r="AP61" s="5"/>
      <c r="AR61" s="6">
        <f t="shared" si="16"/>
        <v>0</v>
      </c>
      <c r="AS61" s="6">
        <f t="shared" si="16"/>
        <v>0</v>
      </c>
      <c r="AT61" s="6">
        <f>AD61-AM61</f>
        <v>0.28670858822969558</v>
      </c>
      <c r="AU61" s="6">
        <f t="shared" si="16"/>
        <v>0.14905943494674542</v>
      </c>
      <c r="AV61" s="6">
        <f t="shared" si="16"/>
        <v>9.2806559800198474E-2</v>
      </c>
      <c r="AW61" s="6">
        <f t="shared" si="16"/>
        <v>3.6642808327708248E-2</v>
      </c>
    </row>
    <row r="62" spans="6:50" x14ac:dyDescent="0.15">
      <c r="G62" s="1">
        <v>4</v>
      </c>
      <c r="L62" s="1">
        <f>IF($E$30=0,0,(L52+H29)/$E$30)</f>
        <v>3.3915342229152343</v>
      </c>
      <c r="M62" s="1">
        <f t="shared" si="18"/>
        <v>3.9853909210649086</v>
      </c>
      <c r="N62" s="1">
        <f t="shared" si="19"/>
        <v>2.600180931701126</v>
      </c>
      <c r="O62" s="1">
        <f t="shared" si="13"/>
        <v>9.9771060756812702</v>
      </c>
      <c r="P62" s="1">
        <v>4</v>
      </c>
      <c r="U62" s="1">
        <f>L62*E30</f>
        <v>25.779625308805137</v>
      </c>
      <c r="V62" s="1">
        <f>M62*E31</f>
        <v>6.5855718527660345</v>
      </c>
      <c r="W62" s="1">
        <f>N62*E32</f>
        <v>2.600180931701126</v>
      </c>
      <c r="X62" s="1">
        <f t="shared" si="14"/>
        <v>34.9653780932723</v>
      </c>
      <c r="Z62" s="4">
        <v>4</v>
      </c>
      <c r="AA62" s="5"/>
      <c r="AB62" s="5"/>
      <c r="AC62" s="5"/>
      <c r="AD62" s="5"/>
      <c r="AE62" s="5">
        <f>IF($X62=0,0,U62/$X62)</f>
        <v>0.73729004845983359</v>
      </c>
      <c r="AF62" s="5">
        <f>IF($X62=0,0,V62/$X62)</f>
        <v>0.18834550666658362</v>
      </c>
      <c r="AG62" s="5">
        <f>IF($X62=0,0,W62/$X62)</f>
        <v>7.436444487358275E-2</v>
      </c>
      <c r="AI62" s="4">
        <v>4</v>
      </c>
      <c r="AJ62" s="5"/>
      <c r="AK62" s="5"/>
      <c r="AL62" s="5"/>
      <c r="AM62" s="5"/>
      <c r="AN62" s="5">
        <f>H29/X62</f>
        <v>0.43478260869565222</v>
      </c>
      <c r="AO62" s="5"/>
      <c r="AP62" s="5"/>
      <c r="AR62" s="6">
        <f t="shared" si="16"/>
        <v>0</v>
      </c>
      <c r="AS62" s="6">
        <f t="shared" si="16"/>
        <v>0</v>
      </c>
      <c r="AT62" s="6">
        <f t="shared" si="16"/>
        <v>0</v>
      </c>
      <c r="AU62" s="6">
        <f t="shared" si="16"/>
        <v>0.30250743976418137</v>
      </c>
      <c r="AV62" s="6">
        <f t="shared" si="16"/>
        <v>0.18834550666658362</v>
      </c>
      <c r="AW62" s="6">
        <f t="shared" si="16"/>
        <v>7.436444487358275E-2</v>
      </c>
    </row>
    <row r="63" spans="6:50" x14ac:dyDescent="0.15">
      <c r="G63" s="1">
        <v>5</v>
      </c>
      <c r="M63" s="1">
        <f>IF($E$31=0,0,(M53+H30)/$E$31)</f>
        <v>3.8640265222623138</v>
      </c>
      <c r="N63" s="1">
        <f t="shared" si="19"/>
        <v>1.2161432379829258</v>
      </c>
      <c r="O63" s="1">
        <f t="shared" si="13"/>
        <v>5.0801697602452398</v>
      </c>
      <c r="P63" s="1">
        <v>5</v>
      </c>
      <c r="V63" s="1">
        <f>M63*E31</f>
        <v>6.3850259127284446</v>
      </c>
      <c r="W63" s="1">
        <f>N63*E32</f>
        <v>1.2161432379829258</v>
      </c>
      <c r="X63" s="1">
        <f t="shared" si="14"/>
        <v>7.6011691507113701</v>
      </c>
      <c r="Z63" s="4">
        <v>5</v>
      </c>
      <c r="AA63" s="4"/>
      <c r="AB63" s="4"/>
      <c r="AC63" s="4"/>
      <c r="AD63" s="4"/>
      <c r="AE63" s="4"/>
      <c r="AF63" s="4">
        <f>IF($X63=0,0,V63/$X63)</f>
        <v>0.84000576570919872</v>
      </c>
      <c r="AG63" s="4">
        <f>IF($X63=0,0,W63/$X63)</f>
        <v>0.15999423429080126</v>
      </c>
      <c r="AI63" s="4">
        <v>5</v>
      </c>
      <c r="AJ63" s="4"/>
      <c r="AK63" s="4"/>
      <c r="AL63" s="4"/>
      <c r="AM63" s="4"/>
      <c r="AN63" s="4"/>
      <c r="AO63" s="5">
        <f>H30/X63</f>
        <v>0.43478260869565222</v>
      </c>
      <c r="AP63" s="4"/>
      <c r="AR63" s="6">
        <f t="shared" si="16"/>
        <v>0</v>
      </c>
      <c r="AS63" s="6">
        <f t="shared" si="16"/>
        <v>0</v>
      </c>
      <c r="AT63" s="6">
        <f t="shared" si="16"/>
        <v>0</v>
      </c>
      <c r="AU63" s="6">
        <f t="shared" si="16"/>
        <v>0</v>
      </c>
      <c r="AV63" s="6">
        <f t="shared" si="16"/>
        <v>0.4052231570135465</v>
      </c>
      <c r="AW63" s="6">
        <f t="shared" si="16"/>
        <v>0.15999423429080126</v>
      </c>
    </row>
    <row r="64" spans="6:50" x14ac:dyDescent="0.15">
      <c r="G64" s="1">
        <v>6</v>
      </c>
      <c r="N64" s="1">
        <f>IF($E$32=0,0,(N54+H31)/$E$32)</f>
        <v>1.6524280762416024</v>
      </c>
      <c r="O64" s="1">
        <f t="shared" si="13"/>
        <v>1.6524280762416024</v>
      </c>
      <c r="P64" s="1">
        <v>6</v>
      </c>
      <c r="W64" s="1">
        <f>N64*E32</f>
        <v>1.6524280762416024</v>
      </c>
      <c r="X64" s="1">
        <f t="shared" si="14"/>
        <v>1.6524280762416024</v>
      </c>
      <c r="Z64" s="4">
        <v>6</v>
      </c>
      <c r="AA64" s="4"/>
      <c r="AB64" s="4"/>
      <c r="AC64" s="4"/>
      <c r="AD64" s="4"/>
      <c r="AE64" s="4"/>
      <c r="AF64" s="4"/>
      <c r="AG64" s="4">
        <f>IF($X64=0,0,W64/$X64)</f>
        <v>1</v>
      </c>
      <c r="AI64" s="4">
        <v>6</v>
      </c>
      <c r="AJ64" s="4"/>
      <c r="AK64" s="4"/>
      <c r="AL64" s="4"/>
      <c r="AM64" s="4"/>
      <c r="AN64" s="4"/>
      <c r="AO64" s="4"/>
      <c r="AP64" s="5">
        <f>H31/X64</f>
        <v>1</v>
      </c>
      <c r="AR64" s="6">
        <f t="shared" si="16"/>
        <v>0</v>
      </c>
      <c r="AS64" s="6">
        <f t="shared" si="16"/>
        <v>0</v>
      </c>
      <c r="AT64" s="6">
        <f t="shared" si="16"/>
        <v>0</v>
      </c>
      <c r="AU64" s="6">
        <f t="shared" si="16"/>
        <v>0</v>
      </c>
      <c r="AV64" s="6">
        <f t="shared" si="16"/>
        <v>0</v>
      </c>
      <c r="AW64" s="6">
        <f t="shared" si="16"/>
        <v>0</v>
      </c>
      <c r="AX64" s="6"/>
    </row>
    <row r="65" spans="5:37" x14ac:dyDescent="0.15">
      <c r="G65" s="1">
        <v>7</v>
      </c>
      <c r="P65" s="1">
        <v>7</v>
      </c>
      <c r="Z65" s="4">
        <v>7</v>
      </c>
      <c r="AI65" s="4">
        <v>7</v>
      </c>
    </row>
    <row r="66" spans="5:37" x14ac:dyDescent="0.15">
      <c r="F66" s="1" t="s">
        <v>40</v>
      </c>
    </row>
    <row r="67" spans="5:37" x14ac:dyDescent="0.15">
      <c r="H67" s="1">
        <v>1</v>
      </c>
      <c r="I67" s="1">
        <v>2</v>
      </c>
      <c r="J67" s="1">
        <v>3</v>
      </c>
      <c r="K67" s="1">
        <v>4</v>
      </c>
      <c r="L67" s="1">
        <v>5</v>
      </c>
      <c r="M67" s="1">
        <v>6</v>
      </c>
      <c r="N67" s="1">
        <v>7</v>
      </c>
      <c r="Z67" s="1" t="s">
        <v>41</v>
      </c>
      <c r="AA67" s="1" t="s">
        <v>42</v>
      </c>
    </row>
    <row r="68" spans="5:37" x14ac:dyDescent="0.15">
      <c r="G68" s="1">
        <v>1</v>
      </c>
      <c r="I68" s="1">
        <f t="shared" ref="I68:N68" si="20">I59*$F26</f>
        <v>3.3008791299151148</v>
      </c>
      <c r="J68" s="1">
        <f t="shared" si="20"/>
        <v>2.9972955895248181</v>
      </c>
      <c r="K68" s="1">
        <f t="shared" si="20"/>
        <v>6.9503073696316839</v>
      </c>
      <c r="L68" s="1">
        <f t="shared" si="20"/>
        <v>16.621897934254136</v>
      </c>
      <c r="M68" s="1">
        <f t="shared" si="20"/>
        <v>47.605556534041014</v>
      </c>
      <c r="N68" s="1">
        <f t="shared" si="20"/>
        <v>31.059201667915215</v>
      </c>
      <c r="Z68" s="1">
        <v>0</v>
      </c>
      <c r="AA68" s="1">
        <v>1</v>
      </c>
      <c r="AB68" s="1">
        <f>H79</f>
        <v>0.53842588863894181</v>
      </c>
      <c r="AC68" s="1">
        <f>E26*F26/F32</f>
        <v>0.53842588863894181</v>
      </c>
    </row>
    <row r="69" spans="5:37" x14ac:dyDescent="0.15">
      <c r="G69" s="1">
        <v>2</v>
      </c>
      <c r="J69" s="1">
        <f>J60*$F27</f>
        <v>16.850674720697551</v>
      </c>
      <c r="K69" s="1">
        <f>K60*$F27</f>
        <v>15.421980296449705</v>
      </c>
      <c r="L69" s="1">
        <f>L60*$F27</f>
        <v>36.8821936640839</v>
      </c>
      <c r="M69" s="1">
        <f>M60*$F27</f>
        <v>105.63158085315133</v>
      </c>
      <c r="N69" s="1">
        <f>N60*$F27</f>
        <v>68.917009086380816</v>
      </c>
      <c r="Z69" s="1">
        <v>0</v>
      </c>
      <c r="AA69" s="1">
        <v>2</v>
      </c>
      <c r="AB69" s="1">
        <f>I79</f>
        <v>0.21058548983572187</v>
      </c>
      <c r="AC69" s="1">
        <f>E27*(F27-(AB59*E26*F26/E27))/G32</f>
        <v>5.4773285906271258</v>
      </c>
    </row>
    <row r="70" spans="5:37" x14ac:dyDescent="0.15">
      <c r="G70" s="1">
        <v>3</v>
      </c>
      <c r="K70" s="1">
        <f>K61*$F28</f>
        <v>86.323535747330141</v>
      </c>
      <c r="L70" s="1">
        <f>L61*$F28</f>
        <v>82.03807970673617</v>
      </c>
      <c r="M70" s="1">
        <f>M61*$F28</f>
        <v>234.95923611556211</v>
      </c>
      <c r="N70" s="1">
        <f>N61*$F28</f>
        <v>153.29400241407259</v>
      </c>
      <c r="Z70" s="1">
        <v>0</v>
      </c>
      <c r="AA70" s="1">
        <v>3</v>
      </c>
      <c r="AB70" s="1">
        <f>J79</f>
        <v>0.15679566689688393</v>
      </c>
      <c r="AC70" s="1">
        <f>(E28*(F28-(((AC59*E26*F26)/E28)+(AC60*E27*F27)/E28)))/F32</f>
        <v>0.15679566689688382</v>
      </c>
    </row>
    <row r="71" spans="5:37" x14ac:dyDescent="0.15">
      <c r="G71" s="1">
        <v>4</v>
      </c>
      <c r="L71" s="1">
        <f>L62*$F29</f>
        <v>449.89040620392871</v>
      </c>
      <c r="M71" s="1">
        <f>M62*$F29</f>
        <v>528.6660910701811</v>
      </c>
      <c r="N71" s="1">
        <f>N62*$F29</f>
        <v>344.916600771086</v>
      </c>
      <c r="Z71" s="1">
        <v>0</v>
      </c>
      <c r="AA71" s="1">
        <v>4</v>
      </c>
      <c r="AB71" s="1">
        <f>K79</f>
        <v>0.13251096450580119</v>
      </c>
      <c r="AC71" s="1">
        <f>(E29*(F29-(((AD59*E26*F26)/E29)+(AD60*E27*F27)/E29+(AD61*E28*F28)/E29)))/F32</f>
        <v>0.13251096450580119</v>
      </c>
    </row>
    <row r="72" spans="5:37" x14ac:dyDescent="0.15">
      <c r="G72" s="1">
        <v>5</v>
      </c>
      <c r="M72" s="1">
        <f>M63*$F30</f>
        <v>2614.0916092435523</v>
      </c>
      <c r="N72" s="1">
        <f>N63*$F30</f>
        <v>822.7453449745326</v>
      </c>
      <c r="Z72" s="1">
        <v>0</v>
      </c>
      <c r="AA72" s="1">
        <v>5</v>
      </c>
      <c r="AB72" s="1">
        <f>L79</f>
        <v>0.10953514728259682</v>
      </c>
    </row>
    <row r="73" spans="5:37" x14ac:dyDescent="0.15">
      <c r="G73" s="1">
        <v>6</v>
      </c>
      <c r="N73" s="1">
        <f>N64*$F31</f>
        <v>5701.2941176470586</v>
      </c>
      <c r="Z73" s="1">
        <v>0</v>
      </c>
      <c r="AA73" s="1">
        <v>6</v>
      </c>
      <c r="AB73" s="1">
        <f>M79</f>
        <v>-2.1096903946680862E-2</v>
      </c>
    </row>
    <row r="74" spans="5:37" x14ac:dyDescent="0.15">
      <c r="G74" s="1">
        <v>7</v>
      </c>
      <c r="Z74" s="1">
        <v>0</v>
      </c>
      <c r="AA74" s="1">
        <v>7</v>
      </c>
      <c r="AB74" s="1">
        <f>N79</f>
        <v>-0.12675625321326464</v>
      </c>
    </row>
    <row r="75" spans="5:37" x14ac:dyDescent="0.15">
      <c r="Z75" s="1" t="s">
        <v>43</v>
      </c>
      <c r="AA75" s="1" t="s">
        <v>44</v>
      </c>
      <c r="AB75" s="1" t="s">
        <v>45</v>
      </c>
      <c r="AC75" s="1" t="s">
        <v>46</v>
      </c>
      <c r="AD75" s="1" t="s">
        <v>47</v>
      </c>
      <c r="AE75" s="1" t="s">
        <v>48</v>
      </c>
      <c r="AF75" s="1" t="s">
        <v>49</v>
      </c>
      <c r="AG75" s="1" t="s">
        <v>50</v>
      </c>
      <c r="AI75" s="1" t="s">
        <v>51</v>
      </c>
      <c r="AJ75" s="1" t="s">
        <v>52</v>
      </c>
    </row>
    <row r="76" spans="5:37" x14ac:dyDescent="0.15">
      <c r="E76" s="1" t="s">
        <v>53</v>
      </c>
      <c r="H76" s="1">
        <f>F26</f>
        <v>1</v>
      </c>
      <c r="I76" s="1">
        <f>F27-I68</f>
        <v>1.7991208700848849</v>
      </c>
      <c r="J76" s="1">
        <f>F28-SUM(J68:J69)</f>
        <v>6.1620296897776292</v>
      </c>
      <c r="K76" s="1">
        <f>F29-SUM(K68:K70)</f>
        <v>23.955176586588451</v>
      </c>
      <c r="L76" s="1">
        <f>F30-SUM(L68:L71)</f>
        <v>91.087522490997003</v>
      </c>
      <c r="M76" s="1">
        <f>F31-SUM(M68:M72)</f>
        <v>-80.701563816488942</v>
      </c>
      <c r="N76" s="1">
        <f>F32-SUM(N68:N73)</f>
        <v>-801.22627656104578</v>
      </c>
      <c r="Y76" s="1">
        <f>1</f>
        <v>1</v>
      </c>
      <c r="Z76" s="1">
        <v>1</v>
      </c>
      <c r="AA76" s="1">
        <v>7</v>
      </c>
      <c r="AG76" s="1">
        <f>AB68*AG59</f>
        <v>4.9136531668905574E-3</v>
      </c>
      <c r="AH76" s="1" t="str">
        <f>CONCATENATE(Z76,AA76,AB76,AC76,AD76,AE76,AF76)</f>
        <v>17</v>
      </c>
      <c r="AI76" s="1">
        <f>AG76</f>
        <v>4.9136531668905574E-3</v>
      </c>
      <c r="AJ76" s="1">
        <f>AG76-AI76</f>
        <v>0</v>
      </c>
      <c r="AK76" s="6">
        <f>AG59</f>
        <v>9.1259600821043726E-3</v>
      </c>
    </row>
    <row r="77" spans="5:37" x14ac:dyDescent="0.15">
      <c r="E77" s="1" t="s">
        <v>54</v>
      </c>
      <c r="H77" s="1">
        <f>E26</f>
        <v>3403.3900420867512</v>
      </c>
      <c r="I77" s="1">
        <f>E27</f>
        <v>739.86740045364172</v>
      </c>
      <c r="J77" s="1">
        <f>E28</f>
        <v>160.84073922905256</v>
      </c>
      <c r="K77" s="1">
        <f>E29</f>
        <v>34.9653780932723</v>
      </c>
      <c r="L77" s="1">
        <f>E30</f>
        <v>7.6011691507113701</v>
      </c>
      <c r="M77" s="1">
        <f>E31</f>
        <v>1.6524280762416024</v>
      </c>
      <c r="N77" s="1">
        <f>E32</f>
        <v>1</v>
      </c>
      <c r="Y77" s="1">
        <v>2</v>
      </c>
      <c r="Z77" s="1">
        <v>1</v>
      </c>
      <c r="AA77" s="7">
        <v>6</v>
      </c>
      <c r="AB77" s="7">
        <v>7</v>
      </c>
      <c r="AC77" s="7"/>
      <c r="AD77" s="7"/>
      <c r="AE77" s="7"/>
      <c r="AF77" s="7"/>
      <c r="AG77" s="1">
        <f>AB$68*AF59*AG64</f>
        <v>1.2444986268305052E-2</v>
      </c>
      <c r="AH77" s="1" t="str">
        <f t="shared" ref="AH77:AH139" si="21">CONCATENATE(Z77,AA77,AB77,AC77,AD77,AE77,AF77)</f>
        <v>167</v>
      </c>
      <c r="AI77" s="1">
        <f t="shared" ref="AI77:AI91" si="22">AG77</f>
        <v>1.2444986268305052E-2</v>
      </c>
      <c r="AJ77" s="1">
        <f t="shared" ref="AJ77:AJ139" si="23">AG77-AI77</f>
        <v>0</v>
      </c>
      <c r="AK77" s="1">
        <f>AF59*AG64</f>
        <v>2.3113647636379579E-2</v>
      </c>
    </row>
    <row r="78" spans="5:37" x14ac:dyDescent="0.15">
      <c r="E78" s="1" t="s">
        <v>55</v>
      </c>
      <c r="H78" s="1">
        <f t="shared" ref="H78:N78" si="24">H77*H76</f>
        <v>3403.3900420867512</v>
      </c>
      <c r="I78" s="1">
        <f t="shared" si="24"/>
        <v>1331.1108812515979</v>
      </c>
      <c r="J78" s="1">
        <f t="shared" si="24"/>
        <v>991.10541045520336</v>
      </c>
      <c r="K78" s="1">
        <f t="shared" si="24"/>
        <v>837.60180664116933</v>
      </c>
      <c r="L78" s="1">
        <f t="shared" si="24"/>
        <v>692.37166597329451</v>
      </c>
      <c r="M78" s="1">
        <f t="shared" si="24"/>
        <v>-133.35352984696974</v>
      </c>
      <c r="N78" s="1">
        <f t="shared" si="24"/>
        <v>-801.22627656104578</v>
      </c>
      <c r="O78" s="1">
        <f>SUM(H78:N78)</f>
        <v>6321</v>
      </c>
      <c r="Y78" s="1">
        <v>3</v>
      </c>
      <c r="Z78" s="1">
        <v>1</v>
      </c>
      <c r="AA78" s="7">
        <v>5</v>
      </c>
      <c r="AB78" s="7">
        <v>7</v>
      </c>
      <c r="AC78" s="7"/>
      <c r="AD78" s="7"/>
      <c r="AE78" s="7"/>
      <c r="AF78" s="7"/>
      <c r="AG78" s="1">
        <f>AB68*AE59*AG63</f>
        <v>3.1980080327773342E-3</v>
      </c>
      <c r="AH78" s="1" t="str">
        <f t="shared" si="21"/>
        <v>157</v>
      </c>
      <c r="AI78" s="1">
        <f t="shared" si="22"/>
        <v>3.1980080327773342E-3</v>
      </c>
      <c r="AJ78" s="1">
        <f t="shared" si="23"/>
        <v>0</v>
      </c>
      <c r="AK78" s="1">
        <f>AE59*AG63</f>
        <v>5.9395510139035271E-3</v>
      </c>
    </row>
    <row r="79" spans="5:37" x14ac:dyDescent="0.15">
      <c r="H79" s="1">
        <f t="shared" ref="H79:N79" si="25">H78/$O$78</f>
        <v>0.53842588863894181</v>
      </c>
      <c r="I79" s="1">
        <f t="shared" si="25"/>
        <v>0.21058548983572187</v>
      </c>
      <c r="J79" s="1">
        <f t="shared" si="25"/>
        <v>0.15679566689688393</v>
      </c>
      <c r="K79" s="1">
        <f t="shared" si="25"/>
        <v>0.13251096450580119</v>
      </c>
      <c r="L79" s="1">
        <f t="shared" si="25"/>
        <v>0.10953514728259682</v>
      </c>
      <c r="M79" s="1">
        <f t="shared" si="25"/>
        <v>-2.1096903946680862E-2</v>
      </c>
      <c r="N79" s="1">
        <f t="shared" si="25"/>
        <v>-0.12675625321326464</v>
      </c>
      <c r="O79" s="1">
        <f>SUM(H79:N79)</f>
        <v>1</v>
      </c>
      <c r="Y79" s="1">
        <v>4</v>
      </c>
      <c r="Z79" s="1">
        <v>1</v>
      </c>
      <c r="AA79" s="7">
        <v>5</v>
      </c>
      <c r="AB79" s="7">
        <v>6</v>
      </c>
      <c r="AC79" s="7">
        <v>7</v>
      </c>
      <c r="AD79" s="7"/>
      <c r="AE79" s="7"/>
      <c r="AF79" s="7"/>
      <c r="AG79" s="1">
        <f>AB$68*AE59*AF63*AG64</f>
        <v>1.6790262463050157E-2</v>
      </c>
      <c r="AH79" s="1" t="str">
        <f t="shared" si="21"/>
        <v>1567</v>
      </c>
      <c r="AI79" s="1">
        <f t="shared" si="22"/>
        <v>1.6790262463050157E-2</v>
      </c>
      <c r="AJ79" s="1">
        <f t="shared" si="23"/>
        <v>0</v>
      </c>
      <c r="AK79" s="1">
        <f>AE59*AF63*AG64</f>
        <v>3.1183980594791553E-2</v>
      </c>
    </row>
    <row r="80" spans="5:37" x14ac:dyDescent="0.15">
      <c r="L80" s="1">
        <f>SUM(H79:L79)</f>
        <v>1.1478531571599455</v>
      </c>
      <c r="Y80" s="1">
        <v>5</v>
      </c>
      <c r="Z80" s="1">
        <v>1</v>
      </c>
      <c r="AA80" s="7">
        <v>4</v>
      </c>
      <c r="AB80" s="7">
        <v>7</v>
      </c>
      <c r="AC80" s="7"/>
      <c r="AD80" s="7"/>
      <c r="AE80" s="7"/>
      <c r="AF80" s="7"/>
      <c r="AG80" s="1">
        <f>AB$68*AD59*AG62</f>
        <v>2.8590502597655616E-3</v>
      </c>
      <c r="AH80" s="1" t="str">
        <f t="shared" si="21"/>
        <v>147</v>
      </c>
      <c r="AI80" s="1">
        <f t="shared" si="22"/>
        <v>2.8590502597655616E-3</v>
      </c>
      <c r="AJ80" s="1">
        <f t="shared" si="23"/>
        <v>0</v>
      </c>
      <c r="AK80" s="1">
        <f>AD59*AG62</f>
        <v>5.3100163273961483E-3</v>
      </c>
    </row>
    <row r="81" spans="5:37" x14ac:dyDescent="0.15">
      <c r="H81" s="1">
        <f t="shared" ref="H81:N81" si="26">H79/$L$80</f>
        <v>0.46907209801219879</v>
      </c>
      <c r="I81" s="1">
        <f t="shared" si="26"/>
        <v>0.18346030458874996</v>
      </c>
      <c r="J81" s="1">
        <f t="shared" si="26"/>
        <v>0.13659906401689281</v>
      </c>
      <c r="K81" s="1">
        <f t="shared" si="26"/>
        <v>0.11544243588932926</v>
      </c>
      <c r="L81" s="1">
        <f t="shared" si="26"/>
        <v>9.5426097492829251E-2</v>
      </c>
      <c r="M81" s="1">
        <f t="shared" si="26"/>
        <v>-1.8379444979599556E-2</v>
      </c>
      <c r="N81" s="1">
        <f t="shared" si="26"/>
        <v>-0.11042897989398658</v>
      </c>
      <c r="Y81" s="1">
        <v>6</v>
      </c>
      <c r="Z81" s="1">
        <v>1</v>
      </c>
      <c r="AA81" s="7">
        <v>4</v>
      </c>
      <c r="AB81" s="7">
        <v>6</v>
      </c>
      <c r="AC81" s="7">
        <v>7</v>
      </c>
      <c r="AD81" s="7"/>
      <c r="AE81" s="7"/>
      <c r="AF81" s="7"/>
      <c r="AG81" s="1">
        <f>AB$68*AD59*AF62*AG64</f>
        <v>7.2412195193037113E-3</v>
      </c>
      <c r="AH81" s="1" t="str">
        <f t="shared" si="21"/>
        <v>1467</v>
      </c>
      <c r="AI81" s="1">
        <f t="shared" si="22"/>
        <v>7.2412195193037113E-3</v>
      </c>
      <c r="AJ81" s="1">
        <f t="shared" si="23"/>
        <v>0</v>
      </c>
      <c r="AK81" s="1">
        <f>AD59*AF62*AG64</f>
        <v>1.3448869514072596E-2</v>
      </c>
    </row>
    <row r="82" spans="5:37" x14ac:dyDescent="0.15">
      <c r="Y82" s="1">
        <v>7</v>
      </c>
      <c r="Z82" s="1">
        <v>1</v>
      </c>
      <c r="AA82" s="7">
        <v>4</v>
      </c>
      <c r="AB82" s="7">
        <v>5</v>
      </c>
      <c r="AC82" s="7">
        <v>7</v>
      </c>
      <c r="AD82" s="7"/>
      <c r="AE82" s="7"/>
      <c r="AF82" s="7"/>
      <c r="AG82" s="1">
        <f>AB$68*AD59*AE62*AG63</f>
        <v>4.5352283000579018E-3</v>
      </c>
      <c r="AH82" s="1" t="str">
        <f t="shared" si="21"/>
        <v>1457</v>
      </c>
      <c r="AI82" s="1">
        <f t="shared" si="22"/>
        <v>4.5352283000579018E-3</v>
      </c>
      <c r="AJ82" s="1">
        <f t="shared" si="23"/>
        <v>0</v>
      </c>
      <c r="AK82" s="1">
        <f>AD59*AE62*AG63</f>
        <v>8.4231245111973801E-3</v>
      </c>
    </row>
    <row r="83" spans="5:37" x14ac:dyDescent="0.15">
      <c r="Y83" s="1">
        <v>8</v>
      </c>
      <c r="Z83" s="1">
        <v>1</v>
      </c>
      <c r="AA83" s="7">
        <v>4</v>
      </c>
      <c r="AB83" s="7">
        <v>5</v>
      </c>
      <c r="AC83" s="7">
        <v>6</v>
      </c>
      <c r="AD83" s="7">
        <v>7</v>
      </c>
      <c r="AE83" s="7"/>
      <c r="AF83" s="7"/>
      <c r="AG83" s="1">
        <f>AB$68*AD59*AE62*AF63*AG64</f>
        <v>2.3810970049907582E-2</v>
      </c>
      <c r="AH83" s="1" t="str">
        <f t="shared" si="21"/>
        <v>14567</v>
      </c>
      <c r="AI83" s="1">
        <f t="shared" si="22"/>
        <v>2.3810970049907582E-2</v>
      </c>
      <c r="AJ83" s="1">
        <f t="shared" si="23"/>
        <v>0</v>
      </c>
      <c r="AK83" s="1">
        <f>AD59*AE62*AF63*AG64</f>
        <v>4.4223300833654319E-2</v>
      </c>
    </row>
    <row r="84" spans="5:37" x14ac:dyDescent="0.15">
      <c r="E84" s="1" t="s">
        <v>56</v>
      </c>
      <c r="Y84" s="1">
        <v>9</v>
      </c>
      <c r="Z84" s="1">
        <v>1</v>
      </c>
      <c r="AA84" s="7">
        <v>3</v>
      </c>
      <c r="AB84" s="7">
        <v>7</v>
      </c>
      <c r="AC84" s="7"/>
      <c r="AD84" s="7"/>
      <c r="AE84" s="7"/>
      <c r="AF84" s="7"/>
      <c r="AG84" s="1">
        <f>AB$68*AC59*AG61</f>
        <v>2.794657533700859E-3</v>
      </c>
      <c r="AH84" s="1" t="str">
        <f t="shared" si="21"/>
        <v>137</v>
      </c>
      <c r="AI84" s="1">
        <f t="shared" si="22"/>
        <v>2.794657533700859E-3</v>
      </c>
      <c r="AJ84" s="1">
        <f t="shared" si="23"/>
        <v>0</v>
      </c>
      <c r="AK84" s="1">
        <f>AC59*AG61</f>
        <v>5.1904219181683952E-3</v>
      </c>
    </row>
    <row r="85" spans="5:37" x14ac:dyDescent="0.15">
      <c r="Y85" s="1">
        <v>10</v>
      </c>
      <c r="Z85" s="1">
        <v>1</v>
      </c>
      <c r="AA85" s="7">
        <v>3</v>
      </c>
      <c r="AB85" s="7">
        <v>6</v>
      </c>
      <c r="AC85" s="7">
        <v>7</v>
      </c>
      <c r="AD85" s="7"/>
      <c r="AE85" s="7"/>
      <c r="AF85" s="7"/>
      <c r="AG85" s="1">
        <f>AB$68*AC59*AF61*AG64</f>
        <v>7.0781297438482996E-3</v>
      </c>
      <c r="AH85" s="1" t="str">
        <f t="shared" si="21"/>
        <v>1367</v>
      </c>
      <c r="AI85" s="1">
        <f t="shared" si="22"/>
        <v>7.0781297438482996E-3</v>
      </c>
      <c r="AJ85" s="1">
        <f t="shared" si="23"/>
        <v>0</v>
      </c>
      <c r="AK85" s="1">
        <f>AC59*AF61*AG64</f>
        <v>1.3145968448398215E-2</v>
      </c>
    </row>
    <row r="86" spans="5:37" x14ac:dyDescent="0.15">
      <c r="G86" s="1" t="s">
        <v>57</v>
      </c>
      <c r="H86" s="1" t="s">
        <v>24</v>
      </c>
      <c r="I86" s="1" t="s">
        <v>58</v>
      </c>
      <c r="J86" s="1" t="s">
        <v>59</v>
      </c>
      <c r="Y86" s="1">
        <v>11</v>
      </c>
      <c r="Z86" s="1">
        <v>1</v>
      </c>
      <c r="AA86" s="7">
        <v>3</v>
      </c>
      <c r="AB86" s="7">
        <v>5</v>
      </c>
      <c r="AC86" s="7">
        <v>7</v>
      </c>
      <c r="AD86" s="7"/>
      <c r="AE86" s="7"/>
      <c r="AF86" s="7"/>
      <c r="AG86" s="1">
        <f>AB$68*AC59*AE61*AG63</f>
        <v>1.8188783249617792E-3</v>
      </c>
      <c r="AH86" s="1" t="str">
        <f t="shared" si="21"/>
        <v>1357</v>
      </c>
      <c r="AI86" s="1">
        <f t="shared" si="22"/>
        <v>1.8188783249617792E-3</v>
      </c>
      <c r="AJ86" s="1">
        <f t="shared" si="23"/>
        <v>0</v>
      </c>
      <c r="AK86" s="1">
        <f>AC59*AE61*AG63</f>
        <v>3.3781405451354233E-3</v>
      </c>
    </row>
    <row r="87" spans="5:37" x14ac:dyDescent="0.15">
      <c r="G87" s="1">
        <v>0</v>
      </c>
      <c r="I87" s="1">
        <v>0.22137734950822391</v>
      </c>
      <c r="Y87" s="1">
        <v>12</v>
      </c>
      <c r="Z87" s="1">
        <v>1</v>
      </c>
      <c r="AA87" s="7">
        <v>3</v>
      </c>
      <c r="AB87" s="7">
        <v>5</v>
      </c>
      <c r="AC87" s="7">
        <v>6</v>
      </c>
      <c r="AD87" s="7">
        <v>7</v>
      </c>
      <c r="AE87" s="7"/>
      <c r="AF87" s="7"/>
      <c r="AG87" s="1">
        <f>AB$68*AC59*AE61*AF63*AG64</f>
        <v>9.5495208740733212E-3</v>
      </c>
      <c r="AH87" s="1" t="str">
        <f t="shared" si="21"/>
        <v>13567</v>
      </c>
      <c r="AI87" s="1">
        <f t="shared" si="22"/>
        <v>9.5495208740733212E-3</v>
      </c>
      <c r="AJ87" s="1">
        <f t="shared" si="23"/>
        <v>0</v>
      </c>
      <c r="AK87" s="1">
        <f>AC59*AE61*AF63*AG64</f>
        <v>1.7735998724379781E-2</v>
      </c>
    </row>
    <row r="88" spans="5:37" x14ac:dyDescent="0.15">
      <c r="G88" s="1">
        <v>1.7507146685724495</v>
      </c>
      <c r="H88" s="1">
        <v>919.50816983428626</v>
      </c>
      <c r="I88" s="1">
        <v>0.11064347148715603</v>
      </c>
      <c r="J88" s="1">
        <f t="shared" ref="J88:J93" si="27">I88/G88</f>
        <v>6.319903150030487E-2</v>
      </c>
      <c r="Y88" s="1">
        <v>13</v>
      </c>
      <c r="Z88" s="1">
        <v>1</v>
      </c>
      <c r="AA88" s="7">
        <v>3</v>
      </c>
      <c r="AB88" s="7">
        <v>4</v>
      </c>
      <c r="AC88" s="7">
        <v>7</v>
      </c>
      <c r="AD88" s="7"/>
      <c r="AE88" s="7"/>
      <c r="AF88" s="7"/>
      <c r="AG88" s="1">
        <f>AB$68*AC59*AD61*AG62</f>
        <v>4.0920056210302846E-3</v>
      </c>
      <c r="AH88" s="1" t="str">
        <f t="shared" si="21"/>
        <v>1347</v>
      </c>
      <c r="AI88" s="1">
        <f t="shared" si="22"/>
        <v>4.0920056210302846E-3</v>
      </c>
      <c r="AJ88" s="1">
        <f t="shared" si="23"/>
        <v>0</v>
      </c>
      <c r="AK88" s="1">
        <f>AC59*AD61*AG62</f>
        <v>7.5999421784384265E-3</v>
      </c>
    </row>
    <row r="89" spans="5:37" x14ac:dyDescent="0.15">
      <c r="G89" s="1">
        <v>3.0681402596430045</v>
      </c>
      <c r="H89" s="1">
        <v>460.41279771267835</v>
      </c>
      <c r="I89" s="1">
        <v>0.11833449080393313</v>
      </c>
      <c r="J89" s="1">
        <f t="shared" si="27"/>
        <v>3.8568800898855261E-2</v>
      </c>
      <c r="Y89" s="1">
        <v>14</v>
      </c>
      <c r="Z89" s="1">
        <v>1</v>
      </c>
      <c r="AA89" s="7">
        <v>3</v>
      </c>
      <c r="AB89" s="7">
        <v>4</v>
      </c>
      <c r="AC89" s="7">
        <v>6</v>
      </c>
      <c r="AD89" s="7">
        <v>7</v>
      </c>
      <c r="AE89" s="7"/>
      <c r="AF89" s="7"/>
      <c r="AG89" s="1">
        <f>AB$68*AC59*AD61*AF62*AG64</f>
        <v>1.0363969949424644E-2</v>
      </c>
      <c r="AH89" s="1" t="str">
        <f t="shared" si="21"/>
        <v>13467</v>
      </c>
      <c r="AI89" s="1">
        <f t="shared" si="22"/>
        <v>1.0363969949424644E-2</v>
      </c>
      <c r="AJ89" s="1">
        <f t="shared" si="23"/>
        <v>0</v>
      </c>
      <c r="AK89" s="1">
        <f>AC59*AD61*AF62*AG64</f>
        <v>1.9248647154807459E-2</v>
      </c>
    </row>
    <row r="90" spans="5:37" x14ac:dyDescent="0.15">
      <c r="G90" s="1">
        <v>5.3963971380889131</v>
      </c>
      <c r="H90" s="1">
        <v>231.37052729556214</v>
      </c>
      <c r="I90" s="1">
        <v>0.13934940671471469</v>
      </c>
      <c r="J90" s="1">
        <f t="shared" si="27"/>
        <v>2.582267448982898E-2</v>
      </c>
      <c r="Y90" s="1">
        <v>15</v>
      </c>
      <c r="Z90" s="1">
        <v>1</v>
      </c>
      <c r="AA90" s="7">
        <v>3</v>
      </c>
      <c r="AB90" s="7">
        <v>4</v>
      </c>
      <c r="AC90" s="7">
        <v>5</v>
      </c>
      <c r="AD90" s="7">
        <v>6</v>
      </c>
      <c r="AE90" s="7">
        <v>7</v>
      </c>
      <c r="AF90" s="7"/>
      <c r="AG90" s="1">
        <f>AB$68*AC59*AD61*AE62*AF63*AG64</f>
        <v>3.4079367074293793E-2</v>
      </c>
      <c r="AH90" s="1" t="str">
        <f t="shared" si="21"/>
        <v>134567</v>
      </c>
      <c r="AI90" s="1">
        <f t="shared" si="22"/>
        <v>3.4079367074293793E-2</v>
      </c>
      <c r="AJ90" s="1">
        <f t="shared" si="23"/>
        <v>0</v>
      </c>
      <c r="AK90" s="1">
        <f>AC59*AD61*AE62*AF63*AG64</f>
        <v>6.3294443661394542E-2</v>
      </c>
    </row>
    <row r="91" spans="5:37" x14ac:dyDescent="0.15">
      <c r="G91" s="1">
        <v>9.6159204322329046</v>
      </c>
      <c r="H91" s="1">
        <v>117.79502529485308</v>
      </c>
      <c r="I91" s="1">
        <v>0.16882873288912842</v>
      </c>
      <c r="J91" s="1">
        <f t="shared" si="27"/>
        <v>1.7557209845789547E-2</v>
      </c>
      <c r="Y91" s="1">
        <v>16</v>
      </c>
      <c r="Z91" s="1">
        <v>1</v>
      </c>
      <c r="AA91" s="7">
        <v>3</v>
      </c>
      <c r="AB91" s="7">
        <v>4</v>
      </c>
      <c r="AC91" s="7">
        <v>5</v>
      </c>
      <c r="AD91" s="7">
        <v>7</v>
      </c>
      <c r="AG91" s="1">
        <f>AB$68*AC59*AD61*AE62*AG63</f>
        <v>6.4910295414024322E-3</v>
      </c>
      <c r="AH91" s="1" t="str">
        <f t="shared" si="21"/>
        <v>13457</v>
      </c>
      <c r="AI91" s="1">
        <f t="shared" si="22"/>
        <v>6.4910295414024322E-3</v>
      </c>
      <c r="AJ91" s="1">
        <f t="shared" si="23"/>
        <v>0</v>
      </c>
      <c r="AK91" s="1">
        <f>AC59*AD61*AE62*AG63</f>
        <v>1.2055567309013986E-2</v>
      </c>
    </row>
    <row r="92" spans="5:37" x14ac:dyDescent="0.15">
      <c r="G92" s="1">
        <v>18.029850810436695</v>
      </c>
      <c r="H92" s="1">
        <v>63.104477836528432</v>
      </c>
      <c r="I92" s="1">
        <v>0.19126700931523713</v>
      </c>
      <c r="J92" s="1">
        <f t="shared" si="27"/>
        <v>1.0608352300093408E-2</v>
      </c>
      <c r="Y92" s="1">
        <v>17</v>
      </c>
      <c r="Z92" s="1">
        <v>1</v>
      </c>
      <c r="AA92" s="7">
        <v>2</v>
      </c>
      <c r="AB92" s="7">
        <v>7</v>
      </c>
      <c r="AG92" s="1">
        <f>AB$68*AB59*AG60</f>
        <v>7.0566743593376826E-3</v>
      </c>
      <c r="AH92" s="1" t="str">
        <f t="shared" si="21"/>
        <v>127</v>
      </c>
      <c r="AI92" s="1">
        <f t="shared" ref="AI92:AI107" si="28">AG92*(1-$AK$59/$AB$59)</f>
        <v>2.7810410619020678E-3</v>
      </c>
      <c r="AJ92" s="1">
        <f t="shared" si="23"/>
        <v>4.2756332974356152E-3</v>
      </c>
      <c r="AK92" s="1">
        <f>AB59*AG60</f>
        <v>1.3106120096074644E-2</v>
      </c>
    </row>
    <row r="93" spans="5:37" x14ac:dyDescent="0.15">
      <c r="G93" s="1">
        <v>45.07462702609174</v>
      </c>
      <c r="H93" s="1">
        <v>45.07462702609174</v>
      </c>
      <c r="I93" s="1">
        <v>5.0199539281606746E-2</v>
      </c>
      <c r="J93" s="1">
        <f t="shared" si="27"/>
        <v>1.1136983840720062E-3</v>
      </c>
      <c r="Y93" s="1">
        <v>18</v>
      </c>
      <c r="Z93" s="1">
        <v>1</v>
      </c>
      <c r="AA93" s="7">
        <v>2</v>
      </c>
      <c r="AB93" s="7">
        <v>6</v>
      </c>
      <c r="AC93" s="7">
        <v>7</v>
      </c>
      <c r="AD93" s="7"/>
      <c r="AE93" s="7"/>
      <c r="AF93" s="7"/>
      <c r="AG93" s="1">
        <f>AB$68*AB59*AF60*AG64</f>
        <v>1.7872693191618143E-2</v>
      </c>
      <c r="AH93" s="1" t="str">
        <f t="shared" si="21"/>
        <v>1267</v>
      </c>
      <c r="AI93" s="1">
        <f t="shared" si="28"/>
        <v>7.0436428155277253E-3</v>
      </c>
      <c r="AJ93" s="1">
        <f t="shared" si="23"/>
        <v>1.0829050376090419E-2</v>
      </c>
      <c r="AK93" s="1">
        <f>AB59*AF60*AG64</f>
        <v>3.3194342190338531E-2</v>
      </c>
    </row>
    <row r="94" spans="5:37" x14ac:dyDescent="0.15">
      <c r="Y94" s="1">
        <v>19</v>
      </c>
      <c r="Z94" s="1">
        <v>1</v>
      </c>
      <c r="AA94" s="7">
        <v>2</v>
      </c>
      <c r="AB94" s="7">
        <v>5</v>
      </c>
      <c r="AC94" s="7">
        <v>7</v>
      </c>
      <c r="AG94" s="1">
        <f>AB$68*AB59*AE60*AG63</f>
        <v>4.5927745649448687E-3</v>
      </c>
      <c r="AH94" s="1" t="str">
        <f t="shared" si="21"/>
        <v>1257</v>
      </c>
      <c r="AI94" s="1">
        <f t="shared" si="28"/>
        <v>1.8100161638137276E-3</v>
      </c>
      <c r="AJ94" s="1">
        <f t="shared" si="23"/>
        <v>2.7827584011311411E-3</v>
      </c>
      <c r="AK94" s="1">
        <f>AB59*AE60*AG63</f>
        <v>8.5300032220863298E-3</v>
      </c>
    </row>
    <row r="95" spans="5:37" x14ac:dyDescent="0.15">
      <c r="Y95" s="1">
        <v>20</v>
      </c>
      <c r="Z95" s="1">
        <v>1</v>
      </c>
      <c r="AA95" s="7">
        <v>2</v>
      </c>
      <c r="AB95" s="7">
        <v>5</v>
      </c>
      <c r="AC95" s="7">
        <v>6</v>
      </c>
      <c r="AD95" s="7">
        <v>7</v>
      </c>
      <c r="AE95" s="7"/>
      <c r="AF95" s="7"/>
      <c r="AG95" s="1">
        <f>AB$68*AB59*AE60*AF63*AG64</f>
        <v>2.4113100901774535E-2</v>
      </c>
      <c r="AH95" s="1" t="str">
        <f t="shared" si="21"/>
        <v>12567</v>
      </c>
      <c r="AI95" s="1">
        <f t="shared" si="28"/>
        <v>9.502992532011461E-3</v>
      </c>
      <c r="AJ95" s="1">
        <f t="shared" si="23"/>
        <v>1.4610108369763074E-2</v>
      </c>
      <c r="AK95" s="1">
        <f>AB59*AE60*AF63*AG64</f>
        <v>4.4784438138234337E-2</v>
      </c>
    </row>
    <row r="96" spans="5:37" x14ac:dyDescent="0.15">
      <c r="Y96" s="1">
        <v>21</v>
      </c>
      <c r="Z96" s="1">
        <v>1</v>
      </c>
      <c r="AA96" s="7">
        <v>2</v>
      </c>
      <c r="AB96" s="7">
        <v>4</v>
      </c>
      <c r="AC96" s="7">
        <v>7</v>
      </c>
      <c r="AD96" s="7"/>
      <c r="AE96" s="7"/>
      <c r="AF96" s="7"/>
      <c r="AG96" s="1">
        <f>AB$68*AB59*AD60*AG62</f>
        <v>4.105985093960692E-3</v>
      </c>
      <c r="AH96" s="1" t="str">
        <f t="shared" si="21"/>
        <v>1247</v>
      </c>
      <c r="AI96" s="1">
        <f t="shared" si="28"/>
        <v>1.6181720403113866E-3</v>
      </c>
      <c r="AJ96" s="1">
        <f t="shared" si="23"/>
        <v>2.4878130536493057E-3</v>
      </c>
      <c r="AK96" s="1">
        <f>AB59*AD60*AG62</f>
        <v>7.6259057757047926E-3</v>
      </c>
    </row>
    <row r="97" spans="25:37" x14ac:dyDescent="0.15">
      <c r="Y97" s="1">
        <v>22</v>
      </c>
      <c r="Z97" s="1">
        <v>1</v>
      </c>
      <c r="AA97" s="7">
        <v>2</v>
      </c>
      <c r="AB97" s="7">
        <v>4</v>
      </c>
      <c r="AC97" s="7">
        <v>6</v>
      </c>
      <c r="AD97" s="7">
        <v>7</v>
      </c>
      <c r="AE97" s="7"/>
      <c r="AF97" s="7"/>
      <c r="AG97" s="1">
        <f>AB$68*AB59*AD60*AF62*AG64</f>
        <v>1.0399376263779377E-2</v>
      </c>
      <c r="AH97" s="1" t="str">
        <f t="shared" si="21"/>
        <v>12467</v>
      </c>
      <c r="AI97" s="1">
        <f t="shared" si="28"/>
        <v>4.0984025810218341E-3</v>
      </c>
      <c r="AJ97" s="1">
        <f t="shared" si="23"/>
        <v>6.3009736827575429E-3</v>
      </c>
      <c r="AK97" s="1">
        <f>AB59*AD60*AF62*AG64</f>
        <v>1.9314406092298807E-2</v>
      </c>
    </row>
    <row r="98" spans="25:37" x14ac:dyDescent="0.15">
      <c r="Y98" s="1">
        <v>23</v>
      </c>
      <c r="Z98" s="1">
        <v>1</v>
      </c>
      <c r="AA98" s="7">
        <v>2</v>
      </c>
      <c r="AB98" s="7">
        <v>4</v>
      </c>
      <c r="AC98" s="7">
        <v>5</v>
      </c>
      <c r="AD98" s="7">
        <v>6</v>
      </c>
      <c r="AE98" s="7">
        <v>7</v>
      </c>
      <c r="AF98" s="7"/>
      <c r="AG98" s="1">
        <f>AB$68*AB59*AD60*AE62*AF63*AG64</f>
        <v>3.419579203398887E-2</v>
      </c>
      <c r="AH98" s="1" t="str">
        <f t="shared" si="21"/>
        <v>124567</v>
      </c>
      <c r="AI98" s="1">
        <f t="shared" si="28"/>
        <v>1.3476589247022086E-2</v>
      </c>
      <c r="AJ98" s="1">
        <f t="shared" si="23"/>
        <v>2.0719202786966782E-2</v>
      </c>
      <c r="AK98" s="1">
        <f>AB59*AD60*AE62*AF63*AG64</f>
        <v>6.3510675759723578E-2</v>
      </c>
    </row>
    <row r="99" spans="25:37" x14ac:dyDescent="0.15">
      <c r="Y99" s="1">
        <v>24</v>
      </c>
      <c r="Z99" s="1">
        <v>1</v>
      </c>
      <c r="AA99" s="7">
        <v>2</v>
      </c>
      <c r="AB99" s="7">
        <v>4</v>
      </c>
      <c r="AC99" s="7">
        <v>5</v>
      </c>
      <c r="AD99" s="7">
        <v>7</v>
      </c>
      <c r="AG99" s="1">
        <f>AB$68*AB59*AD60*AE62*AG63</f>
        <v>6.5132047728581654E-3</v>
      </c>
      <c r="AH99" s="1" t="str">
        <f t="shared" si="21"/>
        <v>12457</v>
      </c>
      <c r="AI99" s="1">
        <f t="shared" si="28"/>
        <v>2.5668592591248838E-3</v>
      </c>
      <c r="AJ99" s="1">
        <f t="shared" si="23"/>
        <v>3.946345513733282E-3</v>
      </c>
      <c r="AK99" s="1">
        <f>AB59*AD60*AE62*AG63</f>
        <v>1.2096752608464927E-2</v>
      </c>
    </row>
    <row r="100" spans="25:37" x14ac:dyDescent="0.15">
      <c r="Y100" s="1">
        <v>25</v>
      </c>
      <c r="Z100" s="1">
        <v>1</v>
      </c>
      <c r="AA100" s="7">
        <v>2</v>
      </c>
      <c r="AB100" s="7">
        <v>3</v>
      </c>
      <c r="AC100" s="7">
        <v>7</v>
      </c>
      <c r="AD100" s="7"/>
      <c r="AG100" s="1">
        <f>AB$68*AB59*AC60*AG61</f>
        <v>1.0168941804938521E-2</v>
      </c>
      <c r="AH100" s="1" t="str">
        <f t="shared" si="21"/>
        <v>1237</v>
      </c>
      <c r="AI100" s="1">
        <f t="shared" si="28"/>
        <v>4.0075881747618078E-3</v>
      </c>
      <c r="AJ100" s="1">
        <f t="shared" si="23"/>
        <v>6.1613536301767134E-3</v>
      </c>
      <c r="AK100" s="1">
        <f>AB59*AC60*AG61</f>
        <v>1.8886428047960417E-2</v>
      </c>
    </row>
    <row r="101" spans="25:37" x14ac:dyDescent="0.15">
      <c r="Y101" s="1">
        <v>26</v>
      </c>
      <c r="Z101" s="1">
        <v>1</v>
      </c>
      <c r="AA101" s="7">
        <v>2</v>
      </c>
      <c r="AB101" s="7">
        <v>3</v>
      </c>
      <c r="AC101" s="7">
        <v>6</v>
      </c>
      <c r="AD101" s="7">
        <v>7</v>
      </c>
      <c r="AE101" s="7"/>
      <c r="AF101" s="7"/>
      <c r="AG101" s="1">
        <f>AB$68*AB59*AC60*AF61*AG64</f>
        <v>2.5755244993357466E-2</v>
      </c>
      <c r="AH101" s="1" t="str">
        <f t="shared" si="21"/>
        <v>12367</v>
      </c>
      <c r="AI101" s="1">
        <f t="shared" si="28"/>
        <v>1.0150162844215103E-2</v>
      </c>
      <c r="AJ101" s="1">
        <f t="shared" si="23"/>
        <v>1.5605082149142363E-2</v>
      </c>
      <c r="AK101" s="1">
        <f>AB59*AC60*AF61*AG64</f>
        <v>4.7834336232350907E-2</v>
      </c>
    </row>
    <row r="102" spans="25:37" x14ac:dyDescent="0.15">
      <c r="Y102" s="1">
        <v>27</v>
      </c>
      <c r="Z102" s="1">
        <v>1</v>
      </c>
      <c r="AA102" s="7">
        <v>2</v>
      </c>
      <c r="AB102" s="7">
        <v>3</v>
      </c>
      <c r="AC102" s="7">
        <v>5</v>
      </c>
      <c r="AD102" s="7">
        <v>7</v>
      </c>
      <c r="AG102" s="1">
        <f>AB$68*AB59*AC60*AE61*AG63</f>
        <v>6.6183665131615433E-3</v>
      </c>
      <c r="AH102" s="1" t="str">
        <f t="shared" si="21"/>
        <v>12357</v>
      </c>
      <c r="AI102" s="1">
        <f t="shared" si="28"/>
        <v>2.6083035858760228E-3</v>
      </c>
      <c r="AJ102" s="1">
        <f t="shared" si="23"/>
        <v>4.0100629272855209E-3</v>
      </c>
      <c r="AK102" s="1">
        <f>AB59*AC60*AE61*AG63</f>
        <v>1.2292065914385655E-2</v>
      </c>
    </row>
    <row r="103" spans="25:37" x14ac:dyDescent="0.15">
      <c r="Y103" s="1">
        <v>28</v>
      </c>
      <c r="Z103" s="1">
        <v>1</v>
      </c>
      <c r="AA103" s="7">
        <v>2</v>
      </c>
      <c r="AB103" s="7">
        <v>3</v>
      </c>
      <c r="AC103" s="7">
        <v>5</v>
      </c>
      <c r="AD103" s="7">
        <v>6</v>
      </c>
      <c r="AE103" s="7">
        <v>7</v>
      </c>
      <c r="AF103" s="7"/>
      <c r="AG103" s="1">
        <f>AB$68*AB59*AC60*AE61*AF63*AG64</f>
        <v>3.4747914856279413E-2</v>
      </c>
      <c r="AH103" s="1" t="str">
        <f t="shared" si="21"/>
        <v>123567</v>
      </c>
      <c r="AI103" s="1">
        <f t="shared" si="28"/>
        <v>1.3694181297018194E-2</v>
      </c>
      <c r="AJ103" s="1">
        <f t="shared" si="23"/>
        <v>2.1053733559261219E-2</v>
      </c>
      <c r="AK103" s="1">
        <f>AB59*AC60*AE61*AF63*AG64</f>
        <v>6.4536114606444386E-2</v>
      </c>
    </row>
    <row r="104" spans="25:37" x14ac:dyDescent="0.15">
      <c r="Y104" s="1">
        <v>29</v>
      </c>
      <c r="Z104" s="1">
        <v>1</v>
      </c>
      <c r="AA104" s="7">
        <v>2</v>
      </c>
      <c r="AB104" s="7">
        <v>3</v>
      </c>
      <c r="AC104" s="7">
        <v>4</v>
      </c>
      <c r="AD104" s="7">
        <v>5</v>
      </c>
      <c r="AE104" s="7">
        <v>6</v>
      </c>
      <c r="AF104" s="7">
        <v>7</v>
      </c>
      <c r="AG104" s="1">
        <f>AB$68*AB59*AC60*AD61*AE62*AF63*AG64</f>
        <v>0.12400485438682966</v>
      </c>
      <c r="AH104" s="1" t="str">
        <f t="shared" si="21"/>
        <v>1234567</v>
      </c>
      <c r="AI104" s="1">
        <f t="shared" si="28"/>
        <v>4.8870413223563822E-2</v>
      </c>
      <c r="AJ104" s="1">
        <f t="shared" si="23"/>
        <v>7.5134441163265842E-2</v>
      </c>
      <c r="AK104" s="1">
        <f>AB59*AC60*AD61*AE62*AF63*AG64</f>
        <v>0.23030997766525485</v>
      </c>
    </row>
    <row r="105" spans="25:37" x14ac:dyDescent="0.15">
      <c r="Y105" s="1">
        <v>30</v>
      </c>
      <c r="Z105" s="1">
        <v>1</v>
      </c>
      <c r="AA105" s="7">
        <v>2</v>
      </c>
      <c r="AB105" s="7">
        <v>3</v>
      </c>
      <c r="AC105" s="7">
        <v>4</v>
      </c>
      <c r="AD105" s="7">
        <v>7</v>
      </c>
      <c r="AG105" s="1">
        <f>AB$68*AB59*AC60*AD61*AG62</f>
        <v>1.4889612241909987E-2</v>
      </c>
      <c r="AH105" s="1" t="str">
        <f t="shared" si="21"/>
        <v>12347</v>
      </c>
      <c r="AI105" s="1">
        <f t="shared" si="28"/>
        <v>5.8680082049921692E-3</v>
      </c>
      <c r="AJ105" s="1">
        <f t="shared" si="23"/>
        <v>9.0216040369178185E-3</v>
      </c>
      <c r="AK105" s="1">
        <f>AB59*AC60*AD61*AG62</f>
        <v>2.7653967901782449E-2</v>
      </c>
    </row>
    <row r="106" spans="25:37" x14ac:dyDescent="0.15">
      <c r="Y106" s="1">
        <v>31</v>
      </c>
      <c r="Z106" s="1">
        <v>1</v>
      </c>
      <c r="AA106" s="7">
        <v>2</v>
      </c>
      <c r="AB106" s="7">
        <v>3</v>
      </c>
      <c r="AC106" s="7">
        <v>4</v>
      </c>
      <c r="AD106" s="7">
        <v>6</v>
      </c>
      <c r="AE106" s="7">
        <v>7</v>
      </c>
      <c r="AF106" s="7"/>
      <c r="AG106" s="1">
        <f>AB$68*AB59*AC60*AD61*AF62*AG64</f>
        <v>3.7711456954178588E-2</v>
      </c>
      <c r="AH106" s="1" t="str">
        <f t="shared" si="21"/>
        <v>123467</v>
      </c>
      <c r="AI106" s="1">
        <f t="shared" si="28"/>
        <v>1.4862115630282021E-2</v>
      </c>
      <c r="AJ106" s="1">
        <f t="shared" si="23"/>
        <v>2.2849341323896565E-2</v>
      </c>
      <c r="AK106" s="1">
        <f>AB59*AC60*AD61*AF62*AG64</f>
        <v>7.0040200053358093E-2</v>
      </c>
    </row>
    <row r="107" spans="25:37" x14ac:dyDescent="0.15">
      <c r="Y107" s="1">
        <v>32</v>
      </c>
      <c r="Z107" s="1">
        <v>1</v>
      </c>
      <c r="AA107" s="7">
        <v>2</v>
      </c>
      <c r="AB107" s="7">
        <v>3</v>
      </c>
      <c r="AC107" s="7">
        <v>4</v>
      </c>
      <c r="AD107" s="7">
        <v>5</v>
      </c>
      <c r="AE107" s="7">
        <v>7</v>
      </c>
      <c r="AG107" s="1">
        <f>AB$68*AB59*AC60*AD61*AE62*AG63</f>
        <v>2.3618958983231006E-2</v>
      </c>
      <c r="AH107" s="1" t="str">
        <f t="shared" si="21"/>
        <v>123457</v>
      </c>
      <c r="AI107" s="1">
        <f t="shared" si="28"/>
        <v>9.3082508029903137E-3</v>
      </c>
      <c r="AJ107" s="1">
        <f t="shared" si="23"/>
        <v>1.4310708180240692E-2</v>
      </c>
      <c r="AK107" s="1">
        <f>AB59*AC60*AD61*AE62*AG63</f>
        <v>4.3866685242301633E-2</v>
      </c>
    </row>
    <row r="108" spans="25:37" x14ac:dyDescent="0.15">
      <c r="Y108" s="1">
        <v>33</v>
      </c>
      <c r="AA108" s="7">
        <v>2</v>
      </c>
      <c r="AB108" s="7">
        <v>7</v>
      </c>
      <c r="AG108" s="1">
        <f>AB$69*AG60</f>
        <v>3.8461905491231347E-3</v>
      </c>
      <c r="AH108" s="1" t="str">
        <f t="shared" si="21"/>
        <v>27</v>
      </c>
      <c r="AI108" s="1">
        <f>AG108</f>
        <v>3.8461905491231347E-3</v>
      </c>
      <c r="AJ108" s="1">
        <f t="shared" si="23"/>
        <v>0</v>
      </c>
      <c r="AK108" s="6">
        <f>AG60</f>
        <v>1.8264271446829291E-2</v>
      </c>
    </row>
    <row r="109" spans="25:37" x14ac:dyDescent="0.15">
      <c r="Y109" s="1">
        <v>34</v>
      </c>
      <c r="AA109" s="7">
        <v>2</v>
      </c>
      <c r="AB109" s="7">
        <v>6</v>
      </c>
      <c r="AC109" s="7">
        <v>7</v>
      </c>
      <c r="AD109" s="7"/>
      <c r="AE109" s="7"/>
      <c r="AF109" s="7"/>
      <c r="AG109" s="1">
        <f>AB$69*AF60*AG64</f>
        <v>9.741385267412422E-3</v>
      </c>
      <c r="AH109" s="1" t="str">
        <f t="shared" si="21"/>
        <v>267</v>
      </c>
      <c r="AI109" s="1">
        <f t="shared" ref="AI109:AI115" si="29">AG109</f>
        <v>9.741385267412422E-3</v>
      </c>
      <c r="AJ109" s="1">
        <f t="shared" si="23"/>
        <v>0</v>
      </c>
      <c r="AK109" s="1">
        <f>AF60*AG64</f>
        <v>4.6258577810900904E-2</v>
      </c>
    </row>
    <row r="110" spans="25:37" x14ac:dyDescent="0.15">
      <c r="Y110" s="1">
        <v>35</v>
      </c>
      <c r="AA110" s="7">
        <v>2</v>
      </c>
      <c r="AB110" s="7">
        <v>5</v>
      </c>
      <c r="AC110" s="7">
        <v>7</v>
      </c>
      <c r="AG110" s="1">
        <f>AB$69*AE60*AG63</f>
        <v>2.5032593579395407E-3</v>
      </c>
      <c r="AH110" s="1" t="str">
        <f t="shared" si="21"/>
        <v>257</v>
      </c>
      <c r="AI110" s="1">
        <f t="shared" si="29"/>
        <v>2.5032593579395407E-3</v>
      </c>
      <c r="AJ110" s="1">
        <f t="shared" si="23"/>
        <v>0</v>
      </c>
      <c r="AK110" s="1">
        <f>AE60*AG63</f>
        <v>1.1887140751683975E-2</v>
      </c>
    </row>
    <row r="111" spans="25:37" x14ac:dyDescent="0.15">
      <c r="Y111" s="1">
        <v>36</v>
      </c>
      <c r="AA111" s="7">
        <v>2</v>
      </c>
      <c r="AB111" s="7">
        <v>5</v>
      </c>
      <c r="AC111" s="7">
        <v>6</v>
      </c>
      <c r="AD111" s="7">
        <v>7</v>
      </c>
      <c r="AE111" s="7"/>
      <c r="AF111" s="7"/>
      <c r="AG111" s="1">
        <f>AB$69*AE60*AF63*AG64</f>
        <v>1.31426754411213E-2</v>
      </c>
      <c r="AH111" s="1" t="str">
        <f t="shared" si="21"/>
        <v>2567</v>
      </c>
      <c r="AI111" s="1">
        <f t="shared" si="29"/>
        <v>1.31426754411213E-2</v>
      </c>
      <c r="AJ111" s="1">
        <f t="shared" si="23"/>
        <v>0</v>
      </c>
      <c r="AK111" s="1">
        <f>AE60*AF63*AG64</f>
        <v>6.2410166300507823E-2</v>
      </c>
    </row>
    <row r="112" spans="25:37" x14ac:dyDescent="0.15">
      <c r="Y112" s="1">
        <v>37</v>
      </c>
      <c r="AA112" s="7">
        <v>2</v>
      </c>
      <c r="AB112" s="7">
        <v>4</v>
      </c>
      <c r="AC112" s="7">
        <v>7</v>
      </c>
      <c r="AD112" s="7"/>
      <c r="AE112" s="7"/>
      <c r="AF112" s="7"/>
      <c r="AG112" s="1">
        <f>AB$69*AD60*AG62</f>
        <v>2.2379381928450365E-3</v>
      </c>
      <c r="AH112" s="1" t="str">
        <f t="shared" si="21"/>
        <v>247</v>
      </c>
      <c r="AI112" s="1">
        <f t="shared" si="29"/>
        <v>2.2379381928450365E-3</v>
      </c>
      <c r="AJ112" s="1">
        <f t="shared" si="23"/>
        <v>0</v>
      </c>
      <c r="AK112" s="1">
        <f>AD60*AG62</f>
        <v>1.0627219352059139E-2</v>
      </c>
    </row>
    <row r="113" spans="25:39" x14ac:dyDescent="0.15">
      <c r="Y113" s="1">
        <v>38</v>
      </c>
      <c r="AA113" s="7">
        <v>2</v>
      </c>
      <c r="AB113" s="7">
        <v>4</v>
      </c>
      <c r="AC113" s="7">
        <v>6</v>
      </c>
      <c r="AD113" s="7">
        <v>7</v>
      </c>
      <c r="AE113" s="7"/>
      <c r="AF113" s="7"/>
      <c r="AG113" s="1">
        <f>AB$69*AD60*AF62*AG64</f>
        <v>5.668106627252356E-3</v>
      </c>
      <c r="AH113" s="1" t="str">
        <f t="shared" si="21"/>
        <v>2467</v>
      </c>
      <c r="AI113" s="1">
        <f t="shared" si="29"/>
        <v>5.668106627252356E-3</v>
      </c>
      <c r="AJ113" s="1">
        <f t="shared" si="23"/>
        <v>0</v>
      </c>
      <c r="AK113" s="1">
        <f>AD60*AF62*AG64</f>
        <v>2.6915941035035494E-2</v>
      </c>
    </row>
    <row r="114" spans="25:39" x14ac:dyDescent="0.15">
      <c r="Y114" s="1">
        <v>39</v>
      </c>
      <c r="AA114" s="7">
        <v>2</v>
      </c>
      <c r="AB114" s="7">
        <v>4</v>
      </c>
      <c r="AC114" s="7">
        <v>5</v>
      </c>
      <c r="AD114" s="7">
        <v>6</v>
      </c>
      <c r="AE114" s="7">
        <v>7</v>
      </c>
      <c r="AF114" s="7"/>
      <c r="AG114" s="1">
        <f>AB$69*AD60*AE62*AF63*AG64</f>
        <v>1.8638175072776427E-2</v>
      </c>
      <c r="AH114" s="1" t="str">
        <f t="shared" si="21"/>
        <v>24567</v>
      </c>
      <c r="AI114" s="1">
        <f t="shared" si="29"/>
        <v>1.8638175072776427E-2</v>
      </c>
      <c r="AJ114" s="1">
        <f t="shared" si="23"/>
        <v>0</v>
      </c>
      <c r="AK114" s="1">
        <f>AD60*AE62*AF63*AG64</f>
        <v>8.850645449178908E-2</v>
      </c>
    </row>
    <row r="115" spans="25:39" x14ac:dyDescent="0.15">
      <c r="Y115" s="1">
        <v>40</v>
      </c>
      <c r="AA115" s="7">
        <v>2</v>
      </c>
      <c r="AB115" s="7">
        <v>4</v>
      </c>
      <c r="AC115" s="7">
        <v>5</v>
      </c>
      <c r="AD115" s="7">
        <v>7</v>
      </c>
      <c r="AG115" s="1">
        <f>AB$69*AD60*AE62*AG63</f>
        <v>3.5499762871617018E-3</v>
      </c>
      <c r="AH115" s="1" t="str">
        <f t="shared" si="21"/>
        <v>2457</v>
      </c>
      <c r="AI115" s="1">
        <f t="shared" si="29"/>
        <v>3.5499762871617018E-3</v>
      </c>
      <c r="AJ115" s="1">
        <f t="shared" si="23"/>
        <v>0</v>
      </c>
      <c r="AK115" s="1">
        <f>AD60*AE62*AG63</f>
        <v>1.6857649071315622E-2</v>
      </c>
    </row>
    <row r="116" spans="25:39" x14ac:dyDescent="0.15">
      <c r="Y116" s="1">
        <v>41</v>
      </c>
      <c r="AA116" s="7">
        <v>2</v>
      </c>
      <c r="AB116" s="7">
        <v>3</v>
      </c>
      <c r="AC116" s="7">
        <v>7</v>
      </c>
      <c r="AD116" s="7"/>
      <c r="AG116" s="1">
        <f>AB$69*AC60*AG61</f>
        <v>5.542509952012096E-3</v>
      </c>
      <c r="AH116" s="1" t="str">
        <f t="shared" si="21"/>
        <v>237</v>
      </c>
      <c r="AI116" s="1">
        <f>AG116*(1-$AL$60/$AC$60)</f>
        <v>2.1875344126003949E-3</v>
      </c>
      <c r="AJ116" s="1">
        <f t="shared" si="23"/>
        <v>3.3549755394117011E-3</v>
      </c>
      <c r="AK116" s="1">
        <f>AC60*AG61</f>
        <v>2.6319524466456919E-2</v>
      </c>
    </row>
    <row r="117" spans="25:39" x14ac:dyDescent="0.15">
      <c r="Y117" s="1">
        <v>42</v>
      </c>
      <c r="AA117" s="7">
        <v>2</v>
      </c>
      <c r="AB117" s="7">
        <v>3</v>
      </c>
      <c r="AC117" s="7">
        <v>6</v>
      </c>
      <c r="AD117" s="7">
        <v>7</v>
      </c>
      <c r="AE117" s="7"/>
      <c r="AF117" s="7"/>
      <c r="AG117" s="1">
        <f>AB$69*AC60*AF61*AG64</f>
        <v>1.4037714486955555E-2</v>
      </c>
      <c r="AH117" s="1" t="str">
        <f t="shared" si="21"/>
        <v>2367</v>
      </c>
      <c r="AI117" s="1">
        <f t="shared" ref="AI117:AI123" si="30">AG117*(1-$AL$60/$AC$60)</f>
        <v>5.5404471584803317E-3</v>
      </c>
      <c r="AJ117" s="1">
        <f t="shared" si="23"/>
        <v>8.4972673284752238E-3</v>
      </c>
      <c r="AK117" s="1">
        <f>AC60*AF61*AG64</f>
        <v>6.6660407124471882E-2</v>
      </c>
    </row>
    <row r="118" spans="25:39" x14ac:dyDescent="0.15">
      <c r="Y118" s="1">
        <v>43</v>
      </c>
      <c r="AA118" s="7">
        <v>2</v>
      </c>
      <c r="AB118" s="7">
        <v>3</v>
      </c>
      <c r="AC118" s="7">
        <v>5</v>
      </c>
      <c r="AD118" s="7">
        <v>7</v>
      </c>
      <c r="AG118" s="1">
        <f>AB$69*AC60*AE61*AG63</f>
        <v>3.6072939514165329E-3</v>
      </c>
      <c r="AH118" s="1" t="str">
        <f t="shared" si="21"/>
        <v>2357</v>
      </c>
      <c r="AI118" s="1">
        <f t="shared" si="30"/>
        <v>1.4237375707776992E-3</v>
      </c>
      <c r="AJ118" s="1">
        <f t="shared" si="23"/>
        <v>2.1835563806388335E-3</v>
      </c>
      <c r="AK118" s="1">
        <f>AC60*AE61*AG63</f>
        <v>1.7129831472389619E-2</v>
      </c>
    </row>
    <row r="119" spans="25:39" x14ac:dyDescent="0.15">
      <c r="Y119" s="1">
        <v>44</v>
      </c>
      <c r="AA119" s="7">
        <v>2</v>
      </c>
      <c r="AB119" s="7">
        <v>3</v>
      </c>
      <c r="AC119" s="7">
        <v>5</v>
      </c>
      <c r="AD119" s="7">
        <v>6</v>
      </c>
      <c r="AE119" s="7">
        <v>7</v>
      </c>
      <c r="AF119" s="7"/>
      <c r="AG119" s="1">
        <f>AB$69*AC60*AE61*AF63*AG64</f>
        <v>1.8939105719836691E-2</v>
      </c>
      <c r="AH119" s="1" t="str">
        <f t="shared" si="21"/>
        <v>23567</v>
      </c>
      <c r="AI119" s="1">
        <f t="shared" si="30"/>
        <v>7.4749429166075625E-3</v>
      </c>
      <c r="AJ119" s="1">
        <f t="shared" si="23"/>
        <v>1.1464162803229129E-2</v>
      </c>
      <c r="AK119" s="1">
        <f>AC60*AE61*AF63*AG64</f>
        <v>8.993547340137785E-2</v>
      </c>
    </row>
    <row r="120" spans="25:39" x14ac:dyDescent="0.15">
      <c r="Y120" s="1">
        <v>45</v>
      </c>
      <c r="AA120" s="7">
        <v>2</v>
      </c>
      <c r="AB120" s="7">
        <v>3</v>
      </c>
      <c r="AC120" s="7">
        <v>4</v>
      </c>
      <c r="AD120" s="7">
        <v>5</v>
      </c>
      <c r="AE120" s="7">
        <v>6</v>
      </c>
      <c r="AF120" s="7">
        <v>7</v>
      </c>
      <c r="AG120" s="1">
        <f>AB$69*AC60*AD61*AE62*AF63*AG64</f>
        <v>6.7587970579498211E-2</v>
      </c>
      <c r="AH120" s="1" t="str">
        <f t="shared" si="21"/>
        <v>234567</v>
      </c>
      <c r="AI120" s="1">
        <f t="shared" si="30"/>
        <v>2.6675822470431664E-2</v>
      </c>
      <c r="AJ120" s="1">
        <f t="shared" si="23"/>
        <v>4.0912148109066543E-2</v>
      </c>
      <c r="AK120" s="1">
        <f>AC60*AD61*AE62*AF63*AG64</f>
        <v>0.3209526479351627</v>
      </c>
    </row>
    <row r="121" spans="25:39" x14ac:dyDescent="0.15">
      <c r="Y121" s="1">
        <v>46</v>
      </c>
      <c r="AA121" s="7">
        <v>2</v>
      </c>
      <c r="AB121" s="7">
        <v>3</v>
      </c>
      <c r="AC121" s="7">
        <v>4</v>
      </c>
      <c r="AD121" s="7">
        <v>7</v>
      </c>
      <c r="AG121" s="1">
        <f>AB$69*AC60*AD61*AG62</f>
        <v>8.1154780522304463E-3</v>
      </c>
      <c r="AH121" s="1" t="str">
        <f t="shared" si="21"/>
        <v>2347</v>
      </c>
      <c r="AI121" s="1">
        <f t="shared" si="30"/>
        <v>3.2030411614349021E-3</v>
      </c>
      <c r="AJ121" s="1">
        <f t="shared" si="23"/>
        <v>4.9124368907955442E-3</v>
      </c>
      <c r="AK121" s="1">
        <f>AC60*AD61*AG62</f>
        <v>3.8537688700970553E-2</v>
      </c>
    </row>
    <row r="122" spans="25:39" x14ac:dyDescent="0.15">
      <c r="Y122" s="1">
        <v>47</v>
      </c>
      <c r="AA122" s="7">
        <v>2</v>
      </c>
      <c r="AB122" s="7">
        <v>3</v>
      </c>
      <c r="AC122" s="7">
        <v>4</v>
      </c>
      <c r="AD122" s="7">
        <v>6</v>
      </c>
      <c r="AE122" s="7">
        <v>7</v>
      </c>
      <c r="AF122" s="7"/>
      <c r="AG122" s="1">
        <f>AB$69*AC60*AD61*AF62*AG64</f>
        <v>2.0554363421757652E-2</v>
      </c>
      <c r="AH122" s="1" t="str">
        <f t="shared" si="21"/>
        <v>23467</v>
      </c>
      <c r="AI122" s="1">
        <f t="shared" si="30"/>
        <v>8.1124576597046312E-3</v>
      </c>
      <c r="AJ122" s="1">
        <f t="shared" si="23"/>
        <v>1.2441905762053021E-2</v>
      </c>
      <c r="AK122" s="1">
        <f>AC60*AD61*AF62*AG64</f>
        <v>9.7605791537641803E-2</v>
      </c>
    </row>
    <row r="123" spans="25:39" x14ac:dyDescent="0.15">
      <c r="Y123" s="1">
        <v>48</v>
      </c>
      <c r="AA123" s="7">
        <v>2</v>
      </c>
      <c r="AB123" s="7">
        <v>3</v>
      </c>
      <c r="AC123" s="7">
        <v>4</v>
      </c>
      <c r="AD123" s="7">
        <v>5</v>
      </c>
      <c r="AE123" s="7">
        <v>7</v>
      </c>
      <c r="AG123" s="1">
        <f>AB$69*AC60*AD61*AE62*AG63</f>
        <v>1.2873346876382757E-2</v>
      </c>
      <c r="AH123" s="1" t="str">
        <f t="shared" si="21"/>
        <v>23457</v>
      </c>
      <c r="AI123" s="1">
        <f t="shared" si="30"/>
        <v>5.0808910658258436E-3</v>
      </c>
      <c r="AJ123" s="1">
        <f t="shared" si="23"/>
        <v>7.7924558105569135E-3</v>
      </c>
      <c r="AK123" s="1">
        <f>AC60*AD61*AE62*AG63</f>
        <v>6.1131215101407413E-2</v>
      </c>
    </row>
    <row r="124" spans="25:39" x14ac:dyDescent="0.15">
      <c r="Y124" s="1">
        <v>49</v>
      </c>
      <c r="AA124" s="7"/>
      <c r="AB124" s="7">
        <v>3</v>
      </c>
      <c r="AC124" s="7">
        <v>7</v>
      </c>
      <c r="AD124" s="7"/>
      <c r="AG124" s="1">
        <f>AB$70*AG61</f>
        <v>5.7454335687177069E-3</v>
      </c>
      <c r="AH124" s="1" t="str">
        <f t="shared" si="21"/>
        <v>37</v>
      </c>
      <c r="AI124" s="1">
        <f>AG124</f>
        <v>5.7454335687177069E-3</v>
      </c>
      <c r="AJ124" s="1">
        <f t="shared" si="23"/>
        <v>0</v>
      </c>
      <c r="AK124" s="6">
        <f>AG61</f>
        <v>3.6642808327708248E-2</v>
      </c>
      <c r="AM124" s="6">
        <f>SUM(AK124:AK131)</f>
        <v>0.99999999999999989</v>
      </c>
    </row>
    <row r="125" spans="25:39" x14ac:dyDescent="0.15">
      <c r="Y125" s="1">
        <v>50</v>
      </c>
      <c r="AA125" s="7"/>
      <c r="AB125" s="7">
        <v>3</v>
      </c>
      <c r="AC125" s="7">
        <v>6</v>
      </c>
      <c r="AD125" s="7">
        <v>7</v>
      </c>
      <c r="AE125" s="7"/>
      <c r="AF125" s="7"/>
      <c r="AG125" s="1">
        <f>AB$70*AF61*AG64</f>
        <v>1.4551666436277659E-2</v>
      </c>
      <c r="AH125" s="1" t="str">
        <f t="shared" si="21"/>
        <v>367</v>
      </c>
      <c r="AI125" s="1">
        <f>AG125</f>
        <v>1.4551666436277659E-2</v>
      </c>
      <c r="AJ125" s="1">
        <f t="shared" si="23"/>
        <v>0</v>
      </c>
      <c r="AK125" s="1">
        <f>AF61*AG64</f>
        <v>9.2806559800198474E-2</v>
      </c>
    </row>
    <row r="126" spans="25:39" x14ac:dyDescent="0.15">
      <c r="Y126" s="1">
        <v>51</v>
      </c>
      <c r="AA126" s="7"/>
      <c r="AB126" s="7">
        <v>3</v>
      </c>
      <c r="AC126" s="7">
        <v>5</v>
      </c>
      <c r="AD126" s="7">
        <v>7</v>
      </c>
      <c r="AG126" s="1">
        <f>AB$70*AE61*AG63</f>
        <v>3.7393650061335344E-3</v>
      </c>
      <c r="AH126" s="1" t="str">
        <f t="shared" si="21"/>
        <v>357</v>
      </c>
      <c r="AI126" s="1">
        <f>AG126</f>
        <v>3.7393650061335344E-3</v>
      </c>
      <c r="AJ126" s="1">
        <f t="shared" si="23"/>
        <v>0</v>
      </c>
      <c r="AK126" s="1">
        <f>AE61*AG63</f>
        <v>2.3848650158124037E-2</v>
      </c>
    </row>
    <row r="127" spans="25:39" x14ac:dyDescent="0.15">
      <c r="Y127" s="1">
        <v>52</v>
      </c>
      <c r="AA127" s="7"/>
      <c r="AB127" s="7">
        <v>3</v>
      </c>
      <c r="AC127" s="7">
        <v>5</v>
      </c>
      <c r="AD127" s="7">
        <v>6</v>
      </c>
      <c r="AE127" s="7">
        <v>7</v>
      </c>
      <c r="AF127" s="7"/>
      <c r="AG127" s="1">
        <f>AB$70*AE61*AF63*AG64</f>
        <v>1.9632508503614098E-2</v>
      </c>
      <c r="AH127" s="1" t="str">
        <f t="shared" si="21"/>
        <v>3567</v>
      </c>
      <c r="AI127" s="1">
        <f>AG127</f>
        <v>1.9632508503614098E-2</v>
      </c>
      <c r="AJ127" s="1">
        <f t="shared" si="23"/>
        <v>0</v>
      </c>
      <c r="AK127" s="1">
        <f>AE61*AF63*AG64</f>
        <v>0.12521078478862138</v>
      </c>
    </row>
    <row r="128" spans="25:39" x14ac:dyDescent="0.15">
      <c r="Y128" s="1">
        <v>53</v>
      </c>
      <c r="AA128" s="7"/>
      <c r="AB128" s="7">
        <v>3</v>
      </c>
      <c r="AC128" s="7">
        <v>4</v>
      </c>
      <c r="AD128" s="7">
        <v>5</v>
      </c>
      <c r="AE128" s="7">
        <v>6</v>
      </c>
      <c r="AF128" s="7">
        <v>7</v>
      </c>
      <c r="AG128" s="1">
        <f>AB$70*AD61*AE62*AF63*AG64</f>
        <v>7.0062516508063513E-2</v>
      </c>
      <c r="AH128" s="1" t="str">
        <f t="shared" si="21"/>
        <v>34567</v>
      </c>
      <c r="AI128" s="1">
        <f>AG128*(1-$AM$61/$AD$61)</f>
        <v>2.7841677461138966E-2</v>
      </c>
      <c r="AJ128" s="1">
        <f t="shared" si="23"/>
        <v>4.2220839046924544E-2</v>
      </c>
      <c r="AK128" s="1">
        <f>AD61*AE62*AF63*AG64</f>
        <v>0.44683962187641235</v>
      </c>
    </row>
    <row r="129" spans="25:39" x14ac:dyDescent="0.15">
      <c r="Y129" s="1">
        <v>54</v>
      </c>
      <c r="AA129" s="7"/>
      <c r="AB129" s="7">
        <v>3</v>
      </c>
      <c r="AC129" s="7">
        <v>4</v>
      </c>
      <c r="AD129" s="7">
        <v>7</v>
      </c>
      <c r="AG129" s="1">
        <f>AB$70*AD61*AG62</f>
        <v>8.4126037537469167E-3</v>
      </c>
      <c r="AH129" s="1" t="str">
        <f t="shared" si="21"/>
        <v>347</v>
      </c>
      <c r="AI129" s="1">
        <f>AG129*(1-$AM$61/$AD$61)</f>
        <v>3.3430286548904085E-3</v>
      </c>
      <c r="AJ129" s="1">
        <f t="shared" si="23"/>
        <v>5.0695750988565078E-3</v>
      </c>
      <c r="AK129" s="1">
        <f>AD61*AG62</f>
        <v>5.3653292340530262E-2</v>
      </c>
    </row>
    <row r="130" spans="25:39" x14ac:dyDescent="0.15">
      <c r="Y130" s="1">
        <v>55</v>
      </c>
      <c r="AA130" s="7"/>
      <c r="AB130" s="7">
        <v>3</v>
      </c>
      <c r="AC130" s="7">
        <v>4</v>
      </c>
      <c r="AD130" s="7">
        <v>6</v>
      </c>
      <c r="AE130" s="7">
        <v>7</v>
      </c>
      <c r="AF130" s="7"/>
      <c r="AG130" s="1">
        <f>AB$70*AD61*AF62*AG64</f>
        <v>2.1306904382574581E-2</v>
      </c>
      <c r="AH130" s="1" t="str">
        <f t="shared" si="21"/>
        <v>3467</v>
      </c>
      <c r="AI130" s="1">
        <f>AG130*(1-$AM$61/$AD$61)</f>
        <v>8.4670090239578524E-3</v>
      </c>
      <c r="AJ130" s="1">
        <f t="shared" si="23"/>
        <v>1.2839895358616729E-2</v>
      </c>
      <c r="AK130" s="1">
        <f>AD61*AF62*AG64</f>
        <v>0.13588962504038449</v>
      </c>
    </row>
    <row r="131" spans="25:39" x14ac:dyDescent="0.15">
      <c r="Y131" s="1">
        <v>56</v>
      </c>
      <c r="AB131" s="7">
        <v>3</v>
      </c>
      <c r="AC131" s="7">
        <v>4</v>
      </c>
      <c r="AD131" s="7">
        <v>5</v>
      </c>
      <c r="AE131" s="7">
        <v>7</v>
      </c>
      <c r="AG131" s="1">
        <f>AB$70*AD61*AE62*AG63</f>
        <v>1.3344668737755893E-2</v>
      </c>
      <c r="AH131" s="1" t="str">
        <f t="shared" si="21"/>
        <v>3457</v>
      </c>
      <c r="AI131" s="1">
        <f>AG131*(1-$AM$61/$AD$61)</f>
        <v>5.3029491565519723E-3</v>
      </c>
      <c r="AJ131" s="1">
        <f t="shared" si="23"/>
        <v>8.0417195812039211E-3</v>
      </c>
      <c r="AK131" s="1">
        <f>AD61*AE62*AG63</f>
        <v>8.5108657668020657E-2</v>
      </c>
    </row>
    <row r="132" spans="25:39" x14ac:dyDescent="0.15">
      <c r="Y132" s="1">
        <v>57</v>
      </c>
      <c r="AC132" s="7">
        <v>4</v>
      </c>
      <c r="AD132" s="7">
        <v>5</v>
      </c>
      <c r="AE132" s="7">
        <v>6</v>
      </c>
      <c r="AF132" s="7">
        <v>7</v>
      </c>
      <c r="AG132" s="1">
        <f>AB$71*AE62*AF63*AG64</f>
        <v>8.2067736275342848E-2</v>
      </c>
      <c r="AH132" s="1" t="str">
        <f t="shared" si="21"/>
        <v>4567</v>
      </c>
      <c r="AI132" s="1">
        <f>AG132*(1-$AN$62/$AE$62)</f>
        <v>3.3672095316838506E-2</v>
      </c>
      <c r="AJ132" s="1">
        <f t="shared" si="23"/>
        <v>4.8395640958504342E-2</v>
      </c>
      <c r="AK132" s="1">
        <f>AE62*AF63*AG64</f>
        <v>0.61932789170627478</v>
      </c>
      <c r="AM132" s="1">
        <f>SUM(AK132:AK135)</f>
        <v>0.99999999999999989</v>
      </c>
    </row>
    <row r="133" spans="25:39" x14ac:dyDescent="0.15">
      <c r="Y133" s="1">
        <v>58</v>
      </c>
      <c r="AC133" s="7">
        <v>4</v>
      </c>
      <c r="AD133" s="7">
        <v>7</v>
      </c>
      <c r="AG133" s="1">
        <f>AB$71*AG62</f>
        <v>9.8541043151369329E-3</v>
      </c>
      <c r="AH133" s="1" t="str">
        <f t="shared" si="21"/>
        <v>47</v>
      </c>
      <c r="AI133" s="1">
        <f>AG133</f>
        <v>9.8541043151369329E-3</v>
      </c>
      <c r="AJ133" s="1">
        <f t="shared" si="23"/>
        <v>0</v>
      </c>
      <c r="AK133" s="6">
        <f>AG62</f>
        <v>7.436444487358275E-2</v>
      </c>
    </row>
    <row r="134" spans="25:39" x14ac:dyDescent="0.15">
      <c r="Y134" s="1">
        <v>59</v>
      </c>
      <c r="AC134" s="7">
        <v>4</v>
      </c>
      <c r="AD134" s="7">
        <v>6</v>
      </c>
      <c r="AE134" s="7">
        <v>7</v>
      </c>
      <c r="AF134" s="7"/>
      <c r="AG134" s="1">
        <f>AB$71*AF62*AG64</f>
        <v>2.4957844748722802E-2</v>
      </c>
      <c r="AH134" s="1" t="str">
        <f t="shared" si="21"/>
        <v>467</v>
      </c>
      <c r="AI134" s="1">
        <f>AG134</f>
        <v>2.4957844748722802E-2</v>
      </c>
      <c r="AJ134" s="1">
        <f t="shared" si="23"/>
        <v>0</v>
      </c>
      <c r="AK134" s="1">
        <f>AF62*AG64</f>
        <v>0.18834550666658362</v>
      </c>
    </row>
    <row r="135" spans="25:39" x14ac:dyDescent="0.15">
      <c r="Y135" s="1">
        <v>60</v>
      </c>
      <c r="AA135" s="8"/>
      <c r="AC135" s="7">
        <v>4</v>
      </c>
      <c r="AD135" s="7">
        <v>5</v>
      </c>
      <c r="AE135" s="7">
        <v>7</v>
      </c>
      <c r="AG135" s="1">
        <f>AB$71*AE62*AG63</f>
        <v>1.563127916659859E-2</v>
      </c>
      <c r="AH135" s="1" t="str">
        <f t="shared" si="21"/>
        <v>457</v>
      </c>
      <c r="AI135" s="1">
        <f>AG135*(1-$AN$62/$AE$62)</f>
        <v>6.4134572964937176E-3</v>
      </c>
      <c r="AJ135" s="1">
        <f t="shared" si="23"/>
        <v>9.2178218701048729E-3</v>
      </c>
      <c r="AK135" s="1">
        <f>AE62*AG63</f>
        <v>0.11796215675355883</v>
      </c>
      <c r="AM135" s="1">
        <f>SUM(AK136:AK137)</f>
        <v>1</v>
      </c>
    </row>
    <row r="136" spans="25:39" x14ac:dyDescent="0.15">
      <c r="Y136" s="1">
        <v>61</v>
      </c>
      <c r="AA136" s="8"/>
      <c r="AD136" s="7">
        <v>5</v>
      </c>
      <c r="AE136" s="7">
        <v>6</v>
      </c>
      <c r="AF136" s="7">
        <v>7</v>
      </c>
      <c r="AG136" s="1">
        <f>AB$72*AF63*AG64</f>
        <v>9.2010155265187604E-2</v>
      </c>
      <c r="AH136" s="1" t="str">
        <f t="shared" si="21"/>
        <v>567</v>
      </c>
      <c r="AI136" s="1">
        <f>AG136*(1-AO63/AF63)</f>
        <v>4.4386178185797674E-2</v>
      </c>
      <c r="AJ136" s="1">
        <f t="shared" si="23"/>
        <v>4.762397707938993E-2</v>
      </c>
      <c r="AK136" s="1">
        <f>AF63*AG64</f>
        <v>0.84000576570919872</v>
      </c>
    </row>
    <row r="137" spans="25:39" x14ac:dyDescent="0.15">
      <c r="Y137" s="1">
        <v>62</v>
      </c>
      <c r="AA137" s="8"/>
      <c r="AD137" s="7">
        <v>5</v>
      </c>
      <c r="AE137" s="7">
        <v>7</v>
      </c>
      <c r="AG137" s="1">
        <f>AB$72*AG63</f>
        <v>1.752499201740922E-2</v>
      </c>
      <c r="AH137" s="1" t="str">
        <f t="shared" si="21"/>
        <v>57</v>
      </c>
      <c r="AI137" s="1">
        <f>AG137</f>
        <v>1.752499201740922E-2</v>
      </c>
      <c r="AJ137" s="1">
        <f t="shared" si="23"/>
        <v>0</v>
      </c>
      <c r="AK137" s="1">
        <f>AG63</f>
        <v>0.15999423429080126</v>
      </c>
    </row>
    <row r="138" spans="25:39" x14ac:dyDescent="0.15">
      <c r="Y138" s="1">
        <v>63</v>
      </c>
      <c r="AA138" s="8"/>
      <c r="AE138" s="7">
        <v>6</v>
      </c>
      <c r="AF138" s="7">
        <v>7</v>
      </c>
      <c r="AG138" s="1">
        <f>AB$73*AG64</f>
        <v>-2.1096903946680862E-2</v>
      </c>
      <c r="AH138" s="1" t="str">
        <f t="shared" si="21"/>
        <v>67</v>
      </c>
      <c r="AI138" s="1">
        <f>AG138*(1-AP64/AF63)</f>
        <v>4.0182855054643864E-3</v>
      </c>
      <c r="AJ138" s="1">
        <f t="shared" si="23"/>
        <v>-2.5115189452145248E-2</v>
      </c>
      <c r="AK138" s="1">
        <f>AG64</f>
        <v>1</v>
      </c>
    </row>
    <row r="139" spans="25:39" x14ac:dyDescent="0.15">
      <c r="Y139" s="1">
        <v>64</v>
      </c>
      <c r="AA139" s="8"/>
      <c r="AE139" s="7">
        <v>7</v>
      </c>
      <c r="AG139" s="1">
        <f>AB$74</f>
        <v>-0.12675625321326464</v>
      </c>
      <c r="AH139" s="1" t="str">
        <f t="shared" si="21"/>
        <v>7</v>
      </c>
      <c r="AI139" s="1">
        <f>AG139</f>
        <v>-0.12675625321326464</v>
      </c>
      <c r="AJ139" s="1">
        <f t="shared" si="23"/>
        <v>0</v>
      </c>
    </row>
    <row r="140" spans="25:39" x14ac:dyDescent="0.15">
      <c r="AA140" s="8"/>
    </row>
    <row r="141" spans="25:39" x14ac:dyDescent="0.15">
      <c r="AA141" s="8"/>
    </row>
    <row r="142" spans="25:39" x14ac:dyDescent="0.15">
      <c r="AA142" s="8"/>
    </row>
    <row r="143" spans="25:39" x14ac:dyDescent="0.15">
      <c r="AA143" s="8"/>
    </row>
    <row r="144" spans="25:39" x14ac:dyDescent="0.15">
      <c r="AA144" s="8"/>
    </row>
    <row r="145" spans="27:27" x14ac:dyDescent="0.15">
      <c r="AA145" s="8"/>
    </row>
    <row r="146" spans="27:27" x14ac:dyDescent="0.15">
      <c r="AA146" s="8"/>
    </row>
    <row r="147" spans="27:27" x14ac:dyDescent="0.15">
      <c r="AA147" s="8"/>
    </row>
    <row r="148" spans="27:27" x14ac:dyDescent="0.15">
      <c r="AA148" s="8"/>
    </row>
    <row r="149" spans="27:27" x14ac:dyDescent="0.15">
      <c r="AA149" s="8"/>
    </row>
    <row r="150" spans="27:27" x14ac:dyDescent="0.15">
      <c r="AA150" s="8"/>
    </row>
    <row r="151" spans="27:27" x14ac:dyDescent="0.15">
      <c r="AA151" s="8"/>
    </row>
    <row r="152" spans="27:27" x14ac:dyDescent="0.15">
      <c r="AA152" s="8"/>
    </row>
    <row r="153" spans="27:27" x14ac:dyDescent="0.15">
      <c r="AA153" s="8"/>
    </row>
    <row r="154" spans="27:27" x14ac:dyDescent="0.15">
      <c r="AA154" s="8"/>
    </row>
    <row r="155" spans="27:27" x14ac:dyDescent="0.15">
      <c r="AA155" s="8"/>
    </row>
    <row r="156" spans="27:27" x14ac:dyDescent="0.15">
      <c r="AA156" s="8"/>
    </row>
    <row r="157" spans="27:27" x14ac:dyDescent="0.15">
      <c r="AA157" s="8"/>
    </row>
    <row r="158" spans="27:27" x14ac:dyDescent="0.15">
      <c r="AA158" s="8"/>
    </row>
    <row r="159" spans="27:27" x14ac:dyDescent="0.15">
      <c r="AA159" s="8"/>
    </row>
    <row r="160" spans="27:27" x14ac:dyDescent="0.15">
      <c r="AA160" s="8"/>
    </row>
    <row r="161" spans="27:27" x14ac:dyDescent="0.15">
      <c r="AA161" s="8"/>
    </row>
    <row r="162" spans="27:27" x14ac:dyDescent="0.15">
      <c r="AA162" s="8"/>
    </row>
    <row r="163" spans="27:27" x14ac:dyDescent="0.15">
      <c r="AA163" s="8"/>
    </row>
    <row r="164" spans="27:27" x14ac:dyDescent="0.15">
      <c r="AA164" s="8"/>
    </row>
    <row r="165" spans="27:27" x14ac:dyDescent="0.15">
      <c r="AA165" s="8"/>
    </row>
    <row r="166" spans="27:27" x14ac:dyDescent="0.15">
      <c r="AA166" s="8"/>
    </row>
    <row r="167" spans="27:27" x14ac:dyDescent="0.15">
      <c r="AA167" s="8"/>
    </row>
    <row r="168" spans="27:27" x14ac:dyDescent="0.15">
      <c r="AA168" s="8"/>
    </row>
    <row r="169" spans="27:27" x14ac:dyDescent="0.15">
      <c r="AA169" s="8"/>
    </row>
    <row r="170" spans="27:27" x14ac:dyDescent="0.15">
      <c r="AA170" s="8"/>
    </row>
    <row r="171" spans="27:27" x14ac:dyDescent="0.15">
      <c r="AA171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E7336-583F-4526-8D7D-EA872C817D91}">
  <dimension ref="A1:BV151"/>
  <sheetViews>
    <sheetView tabSelected="1" topLeftCell="A49" zoomScale="103" workbookViewId="0">
      <selection activeCell="P11" sqref="P11"/>
    </sheetView>
  </sheetViews>
  <sheetFormatPr baseColWidth="10" defaultColWidth="9.6640625" defaultRowHeight="15" x14ac:dyDescent="0.2"/>
  <cols>
    <col min="1" max="2" width="9.6640625" style="1"/>
    <col min="3" max="3" width="21.83203125" style="1" customWidth="1"/>
    <col min="4" max="4" width="20.5" style="1" customWidth="1"/>
    <col min="5" max="5" width="14.5" style="1" customWidth="1"/>
    <col min="6" max="6" width="23.1640625" style="1" bestFit="1" customWidth="1"/>
    <col min="7" max="7" width="18.6640625" style="1" customWidth="1"/>
    <col min="8" max="10" width="9.6640625" style="1"/>
    <col min="11" max="11" width="18" style="1" customWidth="1"/>
    <col min="12" max="12" width="19.33203125" style="1" customWidth="1"/>
    <col min="13" max="13" width="16.33203125" style="1" customWidth="1"/>
    <col min="14" max="14" width="14.1640625" style="1" customWidth="1"/>
    <col min="15" max="15" width="22.1640625" style="1" customWidth="1"/>
    <col min="16" max="16" width="15.83203125" style="1" customWidth="1"/>
    <col min="17" max="17" width="9.6640625" style="1"/>
    <col min="18" max="18" width="41.33203125" style="1" customWidth="1"/>
    <col min="19" max="19" width="35" style="1" customWidth="1"/>
    <col min="20" max="39" width="9.6640625" style="1"/>
    <col min="40" max="40" width="15.1640625" style="1" customWidth="1"/>
    <col min="41" max="41" width="22" style="1" customWidth="1"/>
    <col min="42" max="42" width="18.33203125" style="1" customWidth="1"/>
    <col min="43" max="43" width="22" style="1" customWidth="1"/>
    <col min="44" max="44" width="15.1640625" style="1" customWidth="1"/>
    <col min="45" max="45" width="9.6640625" style="1"/>
    <col min="46" max="46" width="19.83203125" style="1" customWidth="1"/>
    <col min="47" max="47" width="21.6640625" style="1" customWidth="1"/>
    <col min="48" max="48" width="17.33203125" style="1" bestFit="1" customWidth="1"/>
    <col min="49" max="49" width="17.5" style="1" customWidth="1"/>
    <col min="50" max="50" width="21.33203125" style="1" customWidth="1"/>
    <col min="51" max="51" width="22.83203125" style="1" bestFit="1" customWidth="1"/>
    <col min="52" max="52" width="26.6640625" style="1" customWidth="1"/>
    <col min="53" max="53" width="31.1640625" style="1" customWidth="1"/>
    <col min="54" max="54" width="34.6640625" style="1" customWidth="1"/>
    <col min="55" max="56" width="19.5" style="1" customWidth="1"/>
    <col min="57" max="57" width="23.6640625" style="1" customWidth="1"/>
    <col min="58" max="59" width="21.33203125" style="1" customWidth="1"/>
    <col min="60" max="60" width="15.1640625" style="3" customWidth="1"/>
    <col min="61" max="61" width="15" style="3" customWidth="1"/>
    <col min="63" max="63" width="37.1640625" style="1" bestFit="1" customWidth="1"/>
    <col min="64" max="64" width="36.6640625" style="1" bestFit="1" customWidth="1"/>
    <col min="65" max="65" width="37.1640625" style="1" bestFit="1" customWidth="1"/>
    <col min="66" max="66" width="36.6640625" style="1" bestFit="1" customWidth="1"/>
    <col min="67" max="67" width="12.6640625" style="1" customWidth="1"/>
    <col min="68" max="70" width="9.6640625" style="1"/>
    <col min="71" max="71" width="11.1640625" style="3" bestFit="1" customWidth="1"/>
    <col min="72" max="72" width="9.6640625" style="3"/>
    <col min="73" max="73" width="18.33203125" style="1" bestFit="1" customWidth="1"/>
    <col min="74" max="16384" width="9.6640625" style="1"/>
  </cols>
  <sheetData>
    <row r="1" spans="2:74" ht="16" thickBot="1" x14ac:dyDescent="0.25">
      <c r="O1" s="24" t="s">
        <v>257</v>
      </c>
      <c r="P1" s="24"/>
      <c r="Q1" s="24"/>
      <c r="R1" s="24"/>
      <c r="S1" s="24"/>
      <c r="BH1" s="1"/>
      <c r="BJ1" s="3"/>
      <c r="BK1"/>
      <c r="BS1" s="1"/>
      <c r="BU1" s="3"/>
    </row>
    <row r="2" spans="2:74" x14ac:dyDescent="0.2">
      <c r="L2" s="3"/>
      <c r="M2" s="3"/>
      <c r="O2" s="79" t="s">
        <v>61</v>
      </c>
      <c r="P2" s="80" t="s">
        <v>62</v>
      </c>
      <c r="Q2" s="10" t="s">
        <v>252</v>
      </c>
      <c r="R2" s="10" t="s">
        <v>289</v>
      </c>
      <c r="S2" s="11" t="s">
        <v>253</v>
      </c>
      <c r="T2" s="24"/>
      <c r="BH2" s="1"/>
      <c r="BI2" s="1"/>
      <c r="BJ2" s="3"/>
      <c r="BK2" s="3"/>
      <c r="BL2"/>
      <c r="BS2" s="1"/>
      <c r="BT2" s="1"/>
      <c r="BU2" s="3"/>
      <c r="BV2" s="3"/>
    </row>
    <row r="3" spans="2:74" ht="16" thickBot="1" x14ac:dyDescent="0.25">
      <c r="L3" s="3"/>
      <c r="M3" s="3"/>
      <c r="O3" s="65" t="s">
        <v>3</v>
      </c>
      <c r="P3" s="74">
        <v>4.5999999999999996</v>
      </c>
      <c r="Q3" s="24" t="s">
        <v>105</v>
      </c>
      <c r="R3" s="24" t="s">
        <v>290</v>
      </c>
      <c r="S3" s="14" t="s">
        <v>63</v>
      </c>
      <c r="T3" s="24" t="s">
        <v>288</v>
      </c>
      <c r="BH3" s="1"/>
      <c r="BI3" s="1"/>
      <c r="BJ3" s="3"/>
      <c r="BK3" s="3"/>
      <c r="BL3"/>
      <c r="BS3" s="1"/>
      <c r="BT3" s="1"/>
      <c r="BU3" s="3"/>
      <c r="BV3" s="3"/>
    </row>
    <row r="4" spans="2:74" ht="16" thickBot="1" x14ac:dyDescent="0.25">
      <c r="B4" s="20" t="s">
        <v>287</v>
      </c>
      <c r="C4" s="21"/>
      <c r="D4" s="21"/>
      <c r="E4" s="22"/>
      <c r="L4" s="3"/>
      <c r="M4" s="3"/>
      <c r="O4" s="65" t="s">
        <v>4</v>
      </c>
      <c r="P4" s="74">
        <v>5.0999999999999996</v>
      </c>
      <c r="Q4" s="24" t="s">
        <v>105</v>
      </c>
      <c r="R4" s="24" t="s">
        <v>88</v>
      </c>
      <c r="S4" s="14" t="s">
        <v>63</v>
      </c>
      <c r="T4" s="24" t="s">
        <v>288</v>
      </c>
      <c r="BH4" s="1"/>
      <c r="BI4" s="1"/>
      <c r="BJ4" s="3"/>
      <c r="BK4" s="3"/>
      <c r="BL4"/>
      <c r="BS4" s="1"/>
      <c r="BT4" s="1"/>
      <c r="BU4" s="3"/>
      <c r="BV4" s="3"/>
    </row>
    <row r="5" spans="2:74" x14ac:dyDescent="0.2">
      <c r="B5" s="1" t="s">
        <v>271</v>
      </c>
      <c r="L5" s="3"/>
      <c r="M5" s="3"/>
      <c r="O5" s="65" t="s">
        <v>5</v>
      </c>
      <c r="P5" s="74">
        <v>2.5</v>
      </c>
      <c r="Q5" s="24" t="s">
        <v>105</v>
      </c>
      <c r="R5" s="24" t="s">
        <v>86</v>
      </c>
      <c r="S5" s="14" t="s">
        <v>63</v>
      </c>
      <c r="T5" s="24" t="s">
        <v>288</v>
      </c>
      <c r="BH5" s="1"/>
      <c r="BI5" s="1"/>
      <c r="BJ5" s="3"/>
      <c r="BK5" s="3"/>
      <c r="BL5"/>
      <c r="BS5" s="1"/>
      <c r="BT5" s="1"/>
      <c r="BU5" s="3"/>
      <c r="BV5" s="3"/>
    </row>
    <row r="6" spans="2:74" x14ac:dyDescent="0.2">
      <c r="L6" s="3"/>
      <c r="M6" s="3"/>
      <c r="O6" s="65" t="s">
        <v>8</v>
      </c>
      <c r="P6" s="66">
        <v>6321</v>
      </c>
      <c r="Q6" s="24" t="s">
        <v>9</v>
      </c>
      <c r="R6" s="24" t="s">
        <v>291</v>
      </c>
      <c r="S6" s="14" t="s">
        <v>63</v>
      </c>
      <c r="T6" s="24" t="s">
        <v>288</v>
      </c>
      <c r="BH6" s="1"/>
      <c r="BI6" s="1"/>
      <c r="BJ6" s="3"/>
      <c r="BK6" s="3"/>
      <c r="BL6"/>
      <c r="BS6" s="1"/>
      <c r="BT6" s="1"/>
      <c r="BU6" s="3"/>
      <c r="BV6" s="3"/>
    </row>
    <row r="7" spans="2:74" x14ac:dyDescent="0.2">
      <c r="L7" s="3"/>
      <c r="M7" s="3"/>
      <c r="O7" s="81" t="s">
        <v>6</v>
      </c>
      <c r="P7" s="75">
        <v>1</v>
      </c>
      <c r="Q7" s="24" t="s">
        <v>9</v>
      </c>
      <c r="R7" s="24" t="s">
        <v>292</v>
      </c>
      <c r="S7" s="14" t="s">
        <v>63</v>
      </c>
      <c r="T7" s="24" t="s">
        <v>288</v>
      </c>
      <c r="BH7" s="1"/>
      <c r="BI7" s="1"/>
      <c r="BJ7" s="3"/>
      <c r="BK7" s="3"/>
      <c r="BL7"/>
      <c r="BS7" s="1"/>
      <c r="BT7" s="1"/>
      <c r="BU7" s="3"/>
      <c r="BV7" s="3"/>
    </row>
    <row r="8" spans="2:74" x14ac:dyDescent="0.2">
      <c r="L8" s="3"/>
      <c r="M8" s="3"/>
      <c r="O8" s="81" t="s">
        <v>7</v>
      </c>
      <c r="P8" s="75">
        <v>1</v>
      </c>
      <c r="Q8" s="24" t="s">
        <v>120</v>
      </c>
      <c r="R8" s="24" t="s">
        <v>293</v>
      </c>
      <c r="S8" s="14" t="s">
        <v>63</v>
      </c>
      <c r="T8" s="24" t="s">
        <v>288</v>
      </c>
      <c r="BH8" s="1"/>
      <c r="BI8" s="1"/>
      <c r="BJ8" s="3"/>
      <c r="BK8" s="3"/>
      <c r="BL8"/>
      <c r="BS8" s="1"/>
      <c r="BT8" s="1"/>
      <c r="BU8" s="3"/>
      <c r="BV8" s="3"/>
    </row>
    <row r="9" spans="2:74" x14ac:dyDescent="0.2">
      <c r="L9" s="3"/>
      <c r="M9" s="3"/>
      <c r="O9" s="18" t="s">
        <v>64</v>
      </c>
      <c r="P9" s="19">
        <v>500</v>
      </c>
      <c r="Q9" s="24" t="s">
        <v>94</v>
      </c>
      <c r="R9" s="24" t="s">
        <v>312</v>
      </c>
      <c r="S9" s="14" t="s">
        <v>63</v>
      </c>
      <c r="T9" s="24" t="s">
        <v>286</v>
      </c>
      <c r="BH9" s="1"/>
      <c r="BI9" s="1"/>
      <c r="BJ9" s="3"/>
      <c r="BK9" s="3"/>
      <c r="BL9"/>
      <c r="BS9" s="1"/>
      <c r="BT9" s="1"/>
      <c r="BU9" s="3"/>
      <c r="BV9" s="3"/>
    </row>
    <row r="10" spans="2:74" x14ac:dyDescent="0.2">
      <c r="B10" s="1" t="s">
        <v>261</v>
      </c>
      <c r="L10" s="3"/>
      <c r="M10" s="3"/>
      <c r="O10" s="18" t="s">
        <v>65</v>
      </c>
      <c r="P10" s="19">
        <f>P11/P9</f>
        <v>1</v>
      </c>
      <c r="Q10" s="24" t="s">
        <v>105</v>
      </c>
      <c r="R10" s="24" t="s">
        <v>314</v>
      </c>
      <c r="S10" s="14" t="s">
        <v>63</v>
      </c>
      <c r="T10" s="24" t="s">
        <v>286</v>
      </c>
      <c r="BH10" s="1"/>
      <c r="BI10" s="1"/>
      <c r="BJ10" s="3"/>
      <c r="BK10" s="3"/>
      <c r="BL10"/>
      <c r="BS10" s="1"/>
      <c r="BT10" s="1"/>
      <c r="BU10" s="3"/>
      <c r="BV10" s="3"/>
    </row>
    <row r="11" spans="2:74" x14ac:dyDescent="0.2">
      <c r="L11" s="3"/>
      <c r="M11" s="3"/>
      <c r="O11" s="16" t="s">
        <v>66</v>
      </c>
      <c r="P11" s="17">
        <v>500</v>
      </c>
      <c r="Q11" s="24" t="s">
        <v>94</v>
      </c>
      <c r="R11" s="24" t="s">
        <v>313</v>
      </c>
      <c r="S11" s="14" t="s">
        <v>63</v>
      </c>
      <c r="T11" s="24" t="s">
        <v>286</v>
      </c>
      <c r="BH11" s="1"/>
      <c r="BI11" s="1"/>
      <c r="BJ11" s="3"/>
      <c r="BK11" s="3"/>
      <c r="BL11"/>
      <c r="BS11" s="1"/>
      <c r="BT11" s="1"/>
      <c r="BU11" s="3"/>
      <c r="BV11" s="3"/>
    </row>
    <row r="12" spans="2:74" x14ac:dyDescent="0.2">
      <c r="L12" s="3"/>
      <c r="M12" s="3"/>
      <c r="O12" s="18" t="s">
        <v>67</v>
      </c>
      <c r="P12" s="19">
        <v>12</v>
      </c>
      <c r="Q12" s="24" t="s">
        <v>110</v>
      </c>
      <c r="R12" s="24" t="s">
        <v>294</v>
      </c>
      <c r="S12" s="14" t="s">
        <v>63</v>
      </c>
      <c r="T12" s="24" t="s">
        <v>286</v>
      </c>
      <c r="BH12" s="1"/>
      <c r="BI12" s="1"/>
      <c r="BJ12" s="3"/>
      <c r="BK12" s="3"/>
      <c r="BL12"/>
      <c r="BS12" s="1"/>
      <c r="BT12" s="1"/>
      <c r="BU12" s="3"/>
      <c r="BV12" s="3"/>
    </row>
    <row r="13" spans="2:74" x14ac:dyDescent="0.2">
      <c r="L13" s="3"/>
      <c r="M13" s="3"/>
      <c r="O13" s="18" t="s">
        <v>68</v>
      </c>
      <c r="P13" s="19">
        <v>0.6</v>
      </c>
      <c r="Q13" s="24" t="s">
        <v>105</v>
      </c>
      <c r="R13" s="24" t="s">
        <v>295</v>
      </c>
      <c r="S13" s="14" t="s">
        <v>63</v>
      </c>
      <c r="T13" s="24" t="s">
        <v>286</v>
      </c>
      <c r="BH13" s="1"/>
      <c r="BI13" s="1"/>
      <c r="BJ13" s="3"/>
      <c r="BK13" s="3"/>
      <c r="BL13"/>
      <c r="BS13" s="1"/>
      <c r="BT13" s="1"/>
      <c r="BU13" s="3"/>
      <c r="BV13" s="3"/>
    </row>
    <row r="14" spans="2:74" x14ac:dyDescent="0.2">
      <c r="L14" s="3"/>
      <c r="M14" s="3"/>
      <c r="O14" s="18" t="s">
        <v>69</v>
      </c>
      <c r="P14" s="19">
        <v>0.2</v>
      </c>
      <c r="Q14" s="24" t="s">
        <v>105</v>
      </c>
      <c r="R14" s="24" t="s">
        <v>296</v>
      </c>
      <c r="S14" s="14" t="s">
        <v>63</v>
      </c>
      <c r="T14" s="24" t="s">
        <v>286</v>
      </c>
      <c r="BH14" s="1"/>
      <c r="BI14" s="1"/>
      <c r="BJ14" s="3"/>
      <c r="BK14" s="3"/>
      <c r="BL14"/>
      <c r="BS14" s="1"/>
      <c r="BT14" s="1"/>
      <c r="BU14" s="3"/>
      <c r="BV14" s="3"/>
    </row>
    <row r="15" spans="2:74" x14ac:dyDescent="0.2">
      <c r="B15" s="23"/>
      <c r="C15" s="24"/>
      <c r="D15" s="24"/>
      <c r="E15" s="24"/>
      <c r="L15" s="3"/>
      <c r="M15" s="3"/>
      <c r="O15" s="18" t="s">
        <v>251</v>
      </c>
      <c r="P15" s="19">
        <v>35</v>
      </c>
      <c r="Q15" s="24" t="s">
        <v>122</v>
      </c>
      <c r="R15" s="24" t="s">
        <v>297</v>
      </c>
      <c r="S15" s="14" t="s">
        <v>63</v>
      </c>
      <c r="T15" s="24" t="s">
        <v>286</v>
      </c>
      <c r="BH15" s="1"/>
      <c r="BI15" s="1"/>
      <c r="BJ15" s="3"/>
      <c r="BK15" s="3"/>
      <c r="BL15"/>
      <c r="BS15" s="1"/>
      <c r="BT15" s="1"/>
      <c r="BU15" s="3"/>
      <c r="BV15" s="3"/>
    </row>
    <row r="16" spans="2:74" x14ac:dyDescent="0.2">
      <c r="L16" s="3"/>
      <c r="M16" s="3"/>
      <c r="O16" s="18" t="s">
        <v>70</v>
      </c>
      <c r="P16" s="19">
        <v>0</v>
      </c>
      <c r="Q16" s="76" t="s">
        <v>105</v>
      </c>
      <c r="R16" s="24" t="s">
        <v>298</v>
      </c>
      <c r="S16" s="14" t="s">
        <v>63</v>
      </c>
      <c r="T16" s="24" t="s">
        <v>286</v>
      </c>
      <c r="BH16" s="1"/>
      <c r="BI16" s="1"/>
      <c r="BJ16" s="3"/>
      <c r="BK16" s="3"/>
      <c r="BL16"/>
      <c r="BS16" s="1"/>
      <c r="BT16" s="1"/>
      <c r="BU16" s="3"/>
      <c r="BV16" s="3"/>
    </row>
    <row r="17" spans="3:74" x14ac:dyDescent="0.2">
      <c r="L17" s="3"/>
      <c r="M17" s="3"/>
      <c r="O17" s="25" t="s">
        <v>71</v>
      </c>
      <c r="P17" s="26">
        <f>G52</f>
        <v>1.1628917645821355</v>
      </c>
      <c r="Q17" s="24" t="s">
        <v>254</v>
      </c>
      <c r="R17" s="24" t="s">
        <v>143</v>
      </c>
      <c r="S17" s="14" t="s">
        <v>60</v>
      </c>
      <c r="T17" s="24"/>
      <c r="BH17" s="1"/>
      <c r="BI17" s="1"/>
      <c r="BJ17" s="3"/>
      <c r="BK17" s="3"/>
      <c r="BL17"/>
      <c r="BS17" s="1"/>
      <c r="BT17" s="1"/>
      <c r="BU17" s="3"/>
      <c r="BV17" s="3"/>
    </row>
    <row r="18" spans="3:74" x14ac:dyDescent="0.2">
      <c r="O18" s="25" t="s">
        <v>72</v>
      </c>
      <c r="P18" s="26">
        <f>MAX(B85:B91)</f>
        <v>66.884117848151092</v>
      </c>
      <c r="Q18" s="24" t="s">
        <v>9</v>
      </c>
      <c r="R18" s="24" t="s">
        <v>299</v>
      </c>
      <c r="S18" s="14" t="s">
        <v>60</v>
      </c>
      <c r="T18" s="77" t="s">
        <v>256</v>
      </c>
      <c r="BH18" s="1"/>
      <c r="BI18" s="1"/>
      <c r="BJ18" s="3"/>
      <c r="BK18" s="3"/>
      <c r="BL18"/>
      <c r="BS18" s="1"/>
      <c r="BT18" s="1"/>
      <c r="BU18" s="3"/>
      <c r="BV18" s="3"/>
    </row>
    <row r="19" spans="3:74" x14ac:dyDescent="0.2">
      <c r="F19" s="1" t="s">
        <v>259</v>
      </c>
      <c r="O19" s="25" t="s">
        <v>73</v>
      </c>
      <c r="P19" s="26">
        <f>B113</f>
        <v>1.2668480866937031</v>
      </c>
      <c r="Q19" s="76" t="s">
        <v>105</v>
      </c>
      <c r="R19" s="76" t="s">
        <v>309</v>
      </c>
      <c r="S19" s="14" t="s">
        <v>60</v>
      </c>
      <c r="T19" s="24" t="s">
        <v>74</v>
      </c>
      <c r="BH19" s="1"/>
      <c r="BI19" s="1"/>
      <c r="BJ19" s="3"/>
      <c r="BK19" s="3"/>
      <c r="BL19"/>
      <c r="BS19" s="1"/>
      <c r="BT19" s="1"/>
      <c r="BU19" s="3"/>
      <c r="BV19" s="3"/>
    </row>
    <row r="20" spans="3:74" x14ac:dyDescent="0.2">
      <c r="O20" s="25" t="s">
        <v>80</v>
      </c>
      <c r="P20" s="26">
        <f>B112</f>
        <v>9.3046766785794812E-4</v>
      </c>
      <c r="Q20" s="24" t="s">
        <v>9</v>
      </c>
      <c r="R20" s="24" t="s">
        <v>300</v>
      </c>
      <c r="S20" s="14" t="s">
        <v>60</v>
      </c>
      <c r="T20" s="24"/>
      <c r="BH20" s="1"/>
      <c r="BI20" s="1"/>
      <c r="BJ20" s="3"/>
      <c r="BK20" s="3"/>
      <c r="BL20"/>
      <c r="BS20" s="1"/>
      <c r="BT20" s="1"/>
      <c r="BU20" s="3"/>
      <c r="BV20" s="3"/>
    </row>
    <row r="21" spans="3:74" x14ac:dyDescent="0.2">
      <c r="C21" s="1" t="s">
        <v>75</v>
      </c>
      <c r="F21" s="1" t="s">
        <v>76</v>
      </c>
      <c r="G21" s="1" t="s">
        <v>77</v>
      </c>
      <c r="H21" s="1" t="s">
        <v>78</v>
      </c>
      <c r="I21" s="1" t="s">
        <v>79</v>
      </c>
      <c r="O21" s="25" t="s">
        <v>81</v>
      </c>
      <c r="P21" s="26">
        <f>F113</f>
        <v>1.2199899741661393</v>
      </c>
      <c r="Q21" s="76" t="s">
        <v>105</v>
      </c>
      <c r="R21" s="76" t="s">
        <v>308</v>
      </c>
      <c r="S21" s="14" t="s">
        <v>60</v>
      </c>
      <c r="T21" s="24"/>
      <c r="BH21" s="1"/>
      <c r="BI21" s="1"/>
      <c r="BJ21" s="3"/>
      <c r="BK21" s="3"/>
      <c r="BL21"/>
      <c r="BS21" s="1"/>
      <c r="BT21" s="1"/>
      <c r="BU21" s="3"/>
      <c r="BV21" s="3"/>
    </row>
    <row r="22" spans="3:74" x14ac:dyDescent="0.2">
      <c r="O22" s="25" t="s">
        <v>83</v>
      </c>
      <c r="P22" s="26">
        <f>F112</f>
        <v>3.0754674202620023</v>
      </c>
      <c r="Q22" s="76" t="s">
        <v>194</v>
      </c>
      <c r="R22" s="76" t="s">
        <v>301</v>
      </c>
      <c r="S22" s="14" t="s">
        <v>60</v>
      </c>
      <c r="T22" s="24"/>
      <c r="BH22" s="1"/>
      <c r="BI22" s="1"/>
      <c r="BJ22" s="3"/>
      <c r="BK22" s="3"/>
      <c r="BL22"/>
      <c r="BS22" s="1"/>
      <c r="BT22" s="1"/>
      <c r="BU22" s="3"/>
      <c r="BV22" s="3"/>
    </row>
    <row r="23" spans="3:74" x14ac:dyDescent="0.2">
      <c r="E23" s="1" t="s">
        <v>82</v>
      </c>
      <c r="G23" s="27">
        <f>P6</f>
        <v>6321</v>
      </c>
      <c r="I23" s="1" t="s">
        <v>9</v>
      </c>
      <c r="O23" s="25" t="s">
        <v>84</v>
      </c>
      <c r="P23" s="26">
        <f>G113</f>
        <v>0.97661500235674958</v>
      </c>
      <c r="Q23" s="76" t="s">
        <v>105</v>
      </c>
      <c r="R23" s="76" t="s">
        <v>310</v>
      </c>
      <c r="S23" s="14" t="s">
        <v>60</v>
      </c>
      <c r="T23" s="24"/>
      <c r="BH23" s="1"/>
      <c r="BI23" s="1"/>
      <c r="BJ23" s="3"/>
      <c r="BK23" s="3"/>
      <c r="BL23"/>
      <c r="BS23" s="1"/>
      <c r="BT23" s="1"/>
      <c r="BU23" s="3"/>
      <c r="BV23" s="3"/>
    </row>
    <row r="24" spans="3:74" x14ac:dyDescent="0.2">
      <c r="C24" s="1">
        <v>2.2999999999999998</v>
      </c>
      <c r="E24" s="1" t="s">
        <v>86</v>
      </c>
      <c r="F24" s="1" t="s">
        <v>5</v>
      </c>
      <c r="G24" s="1">
        <f>P3</f>
        <v>4.5999999999999996</v>
      </c>
      <c r="O24" s="25" t="s">
        <v>85</v>
      </c>
      <c r="P24" s="26">
        <f>G112</f>
        <v>50.54798657053589</v>
      </c>
      <c r="Q24" s="76" t="s">
        <v>194</v>
      </c>
      <c r="R24" s="76" t="s">
        <v>302</v>
      </c>
      <c r="S24" s="14" t="s">
        <v>60</v>
      </c>
      <c r="T24" s="24"/>
      <c r="BH24" s="1"/>
      <c r="BI24" s="1"/>
      <c r="BJ24" s="3"/>
      <c r="BK24" s="3"/>
      <c r="BL24"/>
      <c r="BS24" s="1"/>
      <c r="BT24" s="1"/>
      <c r="BU24" s="3"/>
      <c r="BV24" s="3"/>
    </row>
    <row r="25" spans="3:74" x14ac:dyDescent="0.2">
      <c r="C25" s="1">
        <v>4.5</v>
      </c>
      <c r="E25" s="1" t="s">
        <v>88</v>
      </c>
      <c r="F25" s="1" t="s">
        <v>4</v>
      </c>
      <c r="G25" s="1">
        <f>P4</f>
        <v>5.0999999999999996</v>
      </c>
      <c r="O25" s="25" t="s">
        <v>87</v>
      </c>
      <c r="P25" s="26">
        <f>H113</f>
        <v>0.24337497180939024</v>
      </c>
      <c r="Q25" s="76" t="s">
        <v>105</v>
      </c>
      <c r="R25" s="76" t="s">
        <v>311</v>
      </c>
      <c r="S25" s="14" t="s">
        <v>60</v>
      </c>
      <c r="T25" s="78"/>
      <c r="BH25" s="1"/>
      <c r="BI25" s="1"/>
      <c r="BJ25" s="3"/>
      <c r="BK25" s="3"/>
      <c r="BL25"/>
      <c r="BS25" s="1"/>
      <c r="BT25" s="1"/>
      <c r="BU25" s="3"/>
      <c r="BV25" s="3"/>
    </row>
    <row r="26" spans="3:74" x14ac:dyDescent="0.2">
      <c r="C26" s="1">
        <v>4</v>
      </c>
      <c r="E26" s="1" t="s">
        <v>90</v>
      </c>
      <c r="F26" s="1" t="s">
        <v>3</v>
      </c>
      <c r="G26" s="1">
        <f>P5</f>
        <v>2.5</v>
      </c>
      <c r="O26" s="25" t="s">
        <v>89</v>
      </c>
      <c r="P26" s="26">
        <f>H112</f>
        <v>6.0842530611390826E-2</v>
      </c>
      <c r="Q26" s="76" t="s">
        <v>105</v>
      </c>
      <c r="R26" s="76" t="s">
        <v>307</v>
      </c>
      <c r="S26" s="14" t="s">
        <v>60</v>
      </c>
      <c r="T26" s="24"/>
      <c r="BH26" s="1"/>
      <c r="BI26" s="1"/>
      <c r="BJ26" s="3"/>
      <c r="BK26" s="3"/>
      <c r="BL26"/>
      <c r="BS26" s="1"/>
      <c r="BT26" s="1"/>
      <c r="BU26" s="3"/>
      <c r="BV26" s="3"/>
    </row>
    <row r="27" spans="3:74" x14ac:dyDescent="0.2">
      <c r="C27" s="1">
        <v>500</v>
      </c>
      <c r="E27" s="1" t="s">
        <v>92</v>
      </c>
      <c r="F27" s="1" t="s">
        <v>93</v>
      </c>
      <c r="G27" s="3">
        <f>P9</f>
        <v>500</v>
      </c>
      <c r="I27" s="29" t="s">
        <v>94</v>
      </c>
      <c r="O27" s="25" t="s">
        <v>91</v>
      </c>
      <c r="P27" s="28">
        <f>G91</f>
        <v>316049.99999999988</v>
      </c>
      <c r="Q27" s="24" t="s">
        <v>194</v>
      </c>
      <c r="R27" s="24" t="s">
        <v>303</v>
      </c>
      <c r="S27" s="14" t="s">
        <v>60</v>
      </c>
      <c r="T27" s="24"/>
      <c r="BH27" s="1"/>
      <c r="BI27" s="1"/>
      <c r="BJ27" s="3"/>
      <c r="BK27" s="3"/>
      <c r="BL27"/>
      <c r="BS27" s="1"/>
      <c r="BT27" s="1"/>
      <c r="BU27" s="3"/>
      <c r="BV27" s="3"/>
    </row>
    <row r="28" spans="3:74" x14ac:dyDescent="0.2">
      <c r="E28" s="1" t="s">
        <v>96</v>
      </c>
      <c r="F28" s="1" t="s">
        <v>93</v>
      </c>
      <c r="G28" s="30">
        <f>P11</f>
        <v>500</v>
      </c>
      <c r="I28" s="29" t="s">
        <v>94</v>
      </c>
      <c r="O28" s="25" t="s">
        <v>95</v>
      </c>
      <c r="P28" s="28">
        <f>F91</f>
        <v>142236.33095816063</v>
      </c>
      <c r="Q28" s="24" t="s">
        <v>194</v>
      </c>
      <c r="R28" s="24" t="s">
        <v>304</v>
      </c>
      <c r="S28" s="14" t="s">
        <v>60</v>
      </c>
      <c r="T28" s="77" t="s">
        <v>255</v>
      </c>
      <c r="U28" s="4"/>
      <c r="V28" s="4"/>
      <c r="W28" s="4"/>
      <c r="X28" s="4"/>
      <c r="Y28" s="4"/>
      <c r="BH28" s="1"/>
      <c r="BI28" s="1"/>
      <c r="BJ28" s="3"/>
      <c r="BK28" s="3"/>
      <c r="BL28"/>
      <c r="BS28" s="1"/>
      <c r="BT28" s="1"/>
      <c r="BU28" s="3"/>
      <c r="BV28" s="3"/>
    </row>
    <row r="29" spans="3:74" x14ac:dyDescent="0.2">
      <c r="F29" s="29" t="s">
        <v>98</v>
      </c>
      <c r="G29" s="1">
        <f>P10</f>
        <v>1</v>
      </c>
      <c r="O29" s="25" t="s">
        <v>97</v>
      </c>
      <c r="P29" s="26">
        <f>G50</f>
        <v>0.4500437619305826</v>
      </c>
      <c r="Q29" s="76" t="s">
        <v>105</v>
      </c>
      <c r="R29" s="76" t="s">
        <v>305</v>
      </c>
      <c r="S29" s="14" t="s">
        <v>60</v>
      </c>
      <c r="T29" s="24"/>
      <c r="BH29" s="1"/>
      <c r="BI29" s="1"/>
      <c r="BJ29" s="3"/>
      <c r="BK29" s="3"/>
      <c r="BL29"/>
      <c r="BS29" s="1"/>
      <c r="BT29" s="1"/>
      <c r="BU29" s="3"/>
      <c r="BV29" s="3"/>
    </row>
    <row r="30" spans="3:74" x14ac:dyDescent="0.2">
      <c r="C30" s="1">
        <v>8.3000000000000007</v>
      </c>
      <c r="E30" s="1" t="s">
        <v>100</v>
      </c>
      <c r="F30" s="1" t="s">
        <v>101</v>
      </c>
      <c r="G30" s="3">
        <f>P12</f>
        <v>12</v>
      </c>
      <c r="I30" s="1" t="s">
        <v>102</v>
      </c>
      <c r="O30" s="25" t="s">
        <v>99</v>
      </c>
      <c r="P30" s="38">
        <f>G51</f>
        <v>0.5499562380694174</v>
      </c>
      <c r="Q30" s="76" t="s">
        <v>105</v>
      </c>
      <c r="R30" s="76" t="s">
        <v>306</v>
      </c>
      <c r="S30" s="14" t="s">
        <v>60</v>
      </c>
      <c r="T30" s="24"/>
      <c r="BH30" s="1"/>
      <c r="BI30" s="1"/>
      <c r="BJ30" s="3"/>
      <c r="BK30" s="3"/>
      <c r="BL30"/>
      <c r="BS30" s="1"/>
      <c r="BT30" s="1"/>
      <c r="BU30" s="3"/>
      <c r="BV30" s="3"/>
    </row>
    <row r="31" spans="3:74" x14ac:dyDescent="0.2">
      <c r="C31" s="1">
        <v>0.52</v>
      </c>
      <c r="F31" s="1" t="s">
        <v>104</v>
      </c>
      <c r="G31" s="3">
        <f>P13</f>
        <v>0.6</v>
      </c>
      <c r="H31" s="1">
        <f>G31+G34+G37</f>
        <v>1</v>
      </c>
      <c r="I31" s="1" t="s">
        <v>105</v>
      </c>
      <c r="O31" s="12" t="s">
        <v>103</v>
      </c>
      <c r="P31" s="34">
        <f>BD68</f>
        <v>8.0329338506253129E-4</v>
      </c>
      <c r="Q31" s="24" t="s">
        <v>9</v>
      </c>
      <c r="R31" s="24"/>
      <c r="S31" s="14" t="s">
        <v>60</v>
      </c>
      <c r="T31" s="24"/>
      <c r="BH31" s="1"/>
      <c r="BI31" s="1"/>
      <c r="BJ31" s="3"/>
      <c r="BK31" s="3"/>
      <c r="BL31"/>
      <c r="BS31" s="1"/>
      <c r="BT31" s="1"/>
      <c r="BU31" s="3"/>
      <c r="BV31" s="3"/>
    </row>
    <row r="32" spans="3:74" x14ac:dyDescent="0.2">
      <c r="C32" s="1">
        <v>0.1</v>
      </c>
      <c r="F32" s="1" t="s">
        <v>264</v>
      </c>
      <c r="G32" s="3">
        <f>P14</f>
        <v>0.2</v>
      </c>
      <c r="I32" s="1" t="s">
        <v>105</v>
      </c>
      <c r="O32" s="12" t="s">
        <v>106</v>
      </c>
      <c r="P32" s="34">
        <f>BD69</f>
        <v>7.9893007200726677E-3</v>
      </c>
      <c r="Q32" s="24" t="s">
        <v>9</v>
      </c>
      <c r="R32" s="24"/>
      <c r="S32" s="14" t="s">
        <v>60</v>
      </c>
      <c r="T32" s="24"/>
      <c r="BH32" s="1"/>
      <c r="BI32" s="1"/>
      <c r="BJ32" s="3"/>
      <c r="BK32" s="3"/>
      <c r="BL32"/>
      <c r="BS32" s="1"/>
      <c r="BT32" s="1"/>
      <c r="BU32" s="3"/>
      <c r="BV32" s="3"/>
    </row>
    <row r="33" spans="3:74" x14ac:dyDescent="0.2">
      <c r="C33" s="1">
        <v>0.28999999999999998</v>
      </c>
      <c r="E33" s="1" t="s">
        <v>108</v>
      </c>
      <c r="F33" s="1" t="s">
        <v>109</v>
      </c>
      <c r="G33" s="3">
        <v>0.28999999999999998</v>
      </c>
      <c r="H33" s="1">
        <f>G30*G33*G36</f>
        <v>1</v>
      </c>
      <c r="I33" s="1" t="s">
        <v>110</v>
      </c>
      <c r="O33" s="12" t="s">
        <v>107</v>
      </c>
      <c r="P33" s="34">
        <f>BD70</f>
        <v>6.4272928088458164E-2</v>
      </c>
      <c r="Q33" s="24" t="s">
        <v>9</v>
      </c>
      <c r="R33" s="24"/>
      <c r="S33" s="14" t="s">
        <v>60</v>
      </c>
      <c r="T33" s="24"/>
      <c r="BH33" s="1"/>
      <c r="BI33" s="1"/>
      <c r="BJ33" s="3"/>
      <c r="BK33" s="3"/>
      <c r="BL33"/>
      <c r="BS33" s="1"/>
      <c r="BT33" s="1"/>
      <c r="BU33" s="3"/>
      <c r="BV33" s="3"/>
    </row>
    <row r="34" spans="3:74" x14ac:dyDescent="0.2">
      <c r="C34" s="1">
        <v>0.37</v>
      </c>
      <c r="F34" s="1" t="s">
        <v>112</v>
      </c>
      <c r="G34" s="3">
        <v>0.37</v>
      </c>
      <c r="I34" s="1" t="s">
        <v>105</v>
      </c>
      <c r="O34" s="12" t="s">
        <v>111</v>
      </c>
      <c r="P34" s="34">
        <f>BD71</f>
        <v>0.4787337505665632</v>
      </c>
      <c r="Q34" s="24" t="s">
        <v>9</v>
      </c>
      <c r="R34" s="24"/>
      <c r="S34" s="14" t="s">
        <v>60</v>
      </c>
      <c r="T34" s="24"/>
      <c r="BH34" s="1"/>
      <c r="BI34" s="1"/>
      <c r="BJ34" s="3"/>
      <c r="BK34" s="3"/>
      <c r="BL34"/>
      <c r="BS34" s="1"/>
      <c r="BT34" s="1"/>
      <c r="BU34" s="3"/>
      <c r="BV34" s="3"/>
    </row>
    <row r="35" spans="3:74" x14ac:dyDescent="0.2">
      <c r="C35" s="1">
        <v>0.4</v>
      </c>
      <c r="F35" s="1" t="s">
        <v>265</v>
      </c>
      <c r="G35" s="3">
        <v>0.4</v>
      </c>
      <c r="I35" s="1" t="s">
        <v>105</v>
      </c>
      <c r="O35" s="12" t="s">
        <v>113</v>
      </c>
      <c r="P35" s="34">
        <f>BD72</f>
        <v>3.4635335658746662</v>
      </c>
      <c r="Q35" s="24" t="s">
        <v>9</v>
      </c>
      <c r="R35" s="24"/>
      <c r="S35" s="14" t="s">
        <v>60</v>
      </c>
      <c r="T35" s="24"/>
      <c r="BH35" s="1"/>
      <c r="BI35" s="1"/>
      <c r="BJ35" s="3"/>
      <c r="BK35" s="3"/>
      <c r="BL35"/>
      <c r="BS35" s="1"/>
      <c r="BT35" s="1"/>
      <c r="BU35" s="3"/>
      <c r="BV35" s="3"/>
    </row>
    <row r="36" spans="3:74" x14ac:dyDescent="0.2">
      <c r="C36" s="1">
        <f>1/(C30*C33)</f>
        <v>0.41545492314083921</v>
      </c>
      <c r="E36" s="1" t="s">
        <v>115</v>
      </c>
      <c r="F36" s="1" t="s">
        <v>116</v>
      </c>
      <c r="G36" s="3">
        <f>1/(G30*G33)</f>
        <v>0.2873563218390805</v>
      </c>
      <c r="I36" s="1" t="s">
        <v>117</v>
      </c>
      <c r="O36" s="12" t="s">
        <v>114</v>
      </c>
      <c r="P36" s="34">
        <f>BD73</f>
        <v>26.481469774757429</v>
      </c>
      <c r="Q36" s="24" t="s">
        <v>9</v>
      </c>
      <c r="R36" s="24"/>
      <c r="S36" s="14" t="s">
        <v>60</v>
      </c>
      <c r="T36" s="24"/>
      <c r="BH36" s="1"/>
      <c r="BI36" s="1"/>
      <c r="BJ36" s="3"/>
      <c r="BK36" s="3"/>
      <c r="BL36"/>
      <c r="BS36" s="1"/>
      <c r="BT36" s="1"/>
      <c r="BU36" s="3"/>
      <c r="BV36" s="3"/>
    </row>
    <row r="37" spans="3:74" x14ac:dyDescent="0.2">
      <c r="C37" s="1">
        <v>0.13</v>
      </c>
      <c r="F37" s="1" t="s">
        <v>119</v>
      </c>
      <c r="G37" s="3">
        <f>1-G31-G34</f>
        <v>3.0000000000000027E-2</v>
      </c>
      <c r="I37" s="1" t="s">
        <v>105</v>
      </c>
      <c r="O37" s="12" t="s">
        <v>118</v>
      </c>
      <c r="P37" s="34">
        <f>BD74</f>
        <v>66.884117848151092</v>
      </c>
      <c r="Q37" s="24" t="s">
        <v>9</v>
      </c>
      <c r="R37" s="24"/>
      <c r="S37" s="14" t="s">
        <v>60</v>
      </c>
      <c r="T37" s="24"/>
      <c r="BH37" s="1"/>
      <c r="BI37" s="1"/>
      <c r="BJ37" s="3"/>
      <c r="BK37" s="3"/>
      <c r="BL37"/>
      <c r="BS37" s="1"/>
      <c r="BT37" s="1"/>
      <c r="BU37" s="3"/>
      <c r="BV37" s="3"/>
    </row>
    <row r="38" spans="3:74" x14ac:dyDescent="0.2">
      <c r="C38" s="1">
        <v>0.5</v>
      </c>
      <c r="F38" s="1" t="s">
        <v>266</v>
      </c>
      <c r="G38" s="3">
        <f>1-G32-G35</f>
        <v>0.4</v>
      </c>
      <c r="I38" s="1" t="s">
        <v>105</v>
      </c>
      <c r="O38" s="12" t="s">
        <v>237</v>
      </c>
      <c r="P38" s="35">
        <f>BL68</f>
        <v>13.174011515025514</v>
      </c>
      <c r="Q38" s="24" t="s">
        <v>194</v>
      </c>
      <c r="R38" s="24"/>
      <c r="S38" s="14" t="s">
        <v>60</v>
      </c>
      <c r="T38" s="24"/>
      <c r="BH38" s="1"/>
      <c r="BI38" s="1"/>
      <c r="BJ38" s="3"/>
      <c r="BK38" s="3"/>
      <c r="BL38"/>
      <c r="BS38" s="1"/>
      <c r="BT38" s="1"/>
      <c r="BU38" s="3"/>
      <c r="BV38" s="3"/>
    </row>
    <row r="39" spans="3:74" x14ac:dyDescent="0.2">
      <c r="C39" s="1">
        <v>1</v>
      </c>
      <c r="F39" s="40" t="s">
        <v>7</v>
      </c>
      <c r="G39" s="40">
        <v>1</v>
      </c>
      <c r="I39" s="1" t="s">
        <v>120</v>
      </c>
      <c r="O39" s="12" t="s">
        <v>238</v>
      </c>
      <c r="P39" s="35">
        <f>BL69</f>
        <v>236.40334771631038</v>
      </c>
      <c r="Q39" s="24" t="s">
        <v>194</v>
      </c>
      <c r="R39" s="24"/>
      <c r="S39" s="14" t="s">
        <v>60</v>
      </c>
      <c r="T39" s="24"/>
      <c r="BH39" s="1"/>
      <c r="BI39" s="1"/>
      <c r="BJ39" s="3"/>
      <c r="BK39" s="3"/>
      <c r="BL39"/>
      <c r="BS39" s="1"/>
      <c r="BT39" s="1"/>
      <c r="BU39" s="3"/>
      <c r="BV39" s="3"/>
    </row>
    <row r="40" spans="3:74" x14ac:dyDescent="0.2">
      <c r="C40" s="1">
        <v>1</v>
      </c>
      <c r="F40" s="40" t="s">
        <v>6</v>
      </c>
      <c r="G40" s="40">
        <v>1</v>
      </c>
      <c r="I40" s="1" t="s">
        <v>9</v>
      </c>
      <c r="O40" s="12" t="s">
        <v>239</v>
      </c>
      <c r="P40" s="35">
        <f>BL70</f>
        <v>3645.6205943880905</v>
      </c>
      <c r="Q40" s="24" t="s">
        <v>194</v>
      </c>
      <c r="R40" s="24"/>
      <c r="S40" s="14" t="s">
        <v>60</v>
      </c>
      <c r="T40" s="24"/>
      <c r="BH40" s="1"/>
      <c r="BI40" s="1"/>
      <c r="BJ40" s="3"/>
      <c r="BK40" s="3"/>
      <c r="BL40"/>
      <c r="BS40" s="1"/>
      <c r="BT40" s="1"/>
      <c r="BU40" s="3"/>
      <c r="BV40" s="3"/>
    </row>
    <row r="41" spans="3:74" x14ac:dyDescent="0.2">
      <c r="C41" s="1">
        <v>35</v>
      </c>
      <c r="F41" s="1" t="s">
        <v>121</v>
      </c>
      <c r="G41" s="3">
        <f>P15</f>
        <v>35</v>
      </c>
      <c r="I41" s="1" t="s">
        <v>122</v>
      </c>
      <c r="O41" s="12" t="s">
        <v>240</v>
      </c>
      <c r="P41" s="35">
        <f>BL71</f>
        <v>54275.107949800396</v>
      </c>
      <c r="Q41" s="24" t="s">
        <v>194</v>
      </c>
      <c r="R41" s="24"/>
      <c r="S41" s="14" t="s">
        <v>60</v>
      </c>
      <c r="T41" s="24"/>
      <c r="BH41" s="1"/>
      <c r="BI41" s="1"/>
      <c r="BJ41" s="3"/>
      <c r="BK41" s="3"/>
      <c r="BL41"/>
      <c r="BS41" s="1"/>
      <c r="BT41" s="1"/>
      <c r="BU41" s="3"/>
      <c r="BV41" s="3"/>
    </row>
    <row r="42" spans="3:74" x14ac:dyDescent="0.2">
      <c r="F42"/>
      <c r="G42"/>
      <c r="H42"/>
      <c r="I42"/>
      <c r="O42" s="12" t="s">
        <v>241</v>
      </c>
      <c r="P42" s="35">
        <f>BL72</f>
        <v>803307.82781942026</v>
      </c>
      <c r="Q42" s="24" t="s">
        <v>194</v>
      </c>
      <c r="R42" s="24"/>
      <c r="S42" s="14" t="s">
        <v>60</v>
      </c>
      <c r="T42" s="24"/>
      <c r="BH42" s="1"/>
      <c r="BI42" s="1"/>
      <c r="BJ42" s="3"/>
      <c r="BK42" s="3"/>
      <c r="BL42"/>
      <c r="BS42" s="1"/>
      <c r="BT42" s="1"/>
      <c r="BU42" s="3"/>
      <c r="BV42" s="3"/>
    </row>
    <row r="43" spans="3:74" x14ac:dyDescent="0.2">
      <c r="F43"/>
      <c r="G43"/>
      <c r="H43"/>
      <c r="I43"/>
      <c r="O43" s="12" t="s">
        <v>242</v>
      </c>
      <c r="P43" s="35">
        <f>BL73</f>
        <v>12230046.264487995</v>
      </c>
      <c r="Q43" s="24" t="s">
        <v>194</v>
      </c>
      <c r="R43" s="24"/>
      <c r="S43" s="14" t="s">
        <v>60</v>
      </c>
      <c r="T43" s="24"/>
      <c r="BH43" s="1"/>
      <c r="BI43" s="1"/>
      <c r="BJ43" s="3"/>
      <c r="BK43" s="3"/>
      <c r="BL43"/>
      <c r="BS43" s="1"/>
      <c r="BT43" s="1"/>
      <c r="BU43" s="3"/>
      <c r="BV43" s="3"/>
    </row>
    <row r="44" spans="3:74" x14ac:dyDescent="0.2">
      <c r="C44" s="3"/>
      <c r="D44" s="3"/>
      <c r="E44" s="3"/>
      <c r="F44" s="3"/>
      <c r="G44" s="3"/>
      <c r="H44" s="3"/>
      <c r="I44" s="3"/>
      <c r="J44" s="3"/>
      <c r="O44" s="12" t="s">
        <v>243</v>
      </c>
      <c r="P44" s="35">
        <f>BL74</f>
        <v>40970642.499108844</v>
      </c>
      <c r="Q44" s="24" t="s">
        <v>194</v>
      </c>
      <c r="R44" s="24"/>
      <c r="S44" s="14" t="s">
        <v>60</v>
      </c>
      <c r="T44" s="24"/>
      <c r="BH44" s="1"/>
      <c r="BI44" s="1"/>
      <c r="BJ44" s="3"/>
      <c r="BK44" s="3"/>
      <c r="BL44"/>
      <c r="BS44" s="1"/>
      <c r="BT44" s="1"/>
      <c r="BU44" s="3"/>
      <c r="BV44" s="3"/>
    </row>
    <row r="45" spans="3:74" x14ac:dyDescent="0.2">
      <c r="F45" s="1" t="s">
        <v>124</v>
      </c>
      <c r="G45" s="3">
        <v>0.1</v>
      </c>
      <c r="I45" s="1" t="s">
        <v>125</v>
      </c>
      <c r="O45" s="25" t="s">
        <v>123</v>
      </c>
      <c r="P45" s="36">
        <f>G68</f>
        <v>1</v>
      </c>
      <c r="Q45" s="24" t="s">
        <v>9</v>
      </c>
      <c r="R45" s="24"/>
      <c r="S45" s="14" t="s">
        <v>60</v>
      </c>
      <c r="T45" s="24"/>
      <c r="BH45" s="1"/>
      <c r="BI45" s="1"/>
      <c r="BJ45" s="3"/>
      <c r="BK45" s="3"/>
      <c r="BL45"/>
      <c r="BS45" s="1"/>
      <c r="BT45" s="1"/>
      <c r="BU45" s="3"/>
      <c r="BV45" s="3"/>
    </row>
    <row r="46" spans="3:74" ht="16" thickBot="1" x14ac:dyDescent="0.25">
      <c r="F46" s="1" t="s">
        <v>127</v>
      </c>
      <c r="G46" s="3">
        <f>G28*G45</f>
        <v>50</v>
      </c>
      <c r="I46" s="1" t="s">
        <v>211</v>
      </c>
      <c r="O46" s="25" t="s">
        <v>126</v>
      </c>
      <c r="P46" s="36">
        <f>G69</f>
        <v>5.0999999999999996</v>
      </c>
      <c r="Q46" s="24" t="s">
        <v>9</v>
      </c>
      <c r="R46" s="24"/>
      <c r="S46" s="14" t="s">
        <v>60</v>
      </c>
      <c r="T46" s="24"/>
      <c r="BH46" s="1"/>
      <c r="BI46" s="1"/>
      <c r="BJ46" s="3"/>
      <c r="BK46" s="3"/>
      <c r="BL46"/>
      <c r="BS46" s="1"/>
      <c r="BT46" s="1"/>
      <c r="BU46" s="3"/>
      <c r="BV46" s="3"/>
    </row>
    <row r="47" spans="3:74" x14ac:dyDescent="0.2">
      <c r="F47" s="1" t="s">
        <v>127</v>
      </c>
      <c r="G47" s="1">
        <f>G46*G23</f>
        <v>316050</v>
      </c>
      <c r="I47" s="1" t="s">
        <v>130</v>
      </c>
      <c r="K47" s="9" t="s">
        <v>260</v>
      </c>
      <c r="L47" s="10"/>
      <c r="M47" s="11"/>
      <c r="O47" s="25" t="s">
        <v>129</v>
      </c>
      <c r="P47" s="36">
        <f>G70</f>
        <v>26.009999999999998</v>
      </c>
      <c r="Q47" s="24" t="s">
        <v>9</v>
      </c>
      <c r="R47" s="24"/>
      <c r="S47" s="14" t="s">
        <v>60</v>
      </c>
      <c r="T47" s="24"/>
      <c r="BH47" s="1"/>
      <c r="BI47" s="1"/>
      <c r="BJ47" s="3"/>
      <c r="BK47" s="3"/>
      <c r="BL47"/>
      <c r="BS47" s="1"/>
      <c r="BT47" s="1"/>
      <c r="BU47" s="3"/>
      <c r="BV47" s="3"/>
    </row>
    <row r="48" spans="3:74" ht="16" thickBot="1" x14ac:dyDescent="0.25">
      <c r="K48" s="18" t="s">
        <v>128</v>
      </c>
      <c r="L48" s="19">
        <v>16.399999999999999</v>
      </c>
      <c r="M48" s="14" t="s">
        <v>258</v>
      </c>
      <c r="O48" s="25" t="s">
        <v>132</v>
      </c>
      <c r="P48" s="36">
        <f>G71</f>
        <v>132.65099999999998</v>
      </c>
      <c r="Q48" s="24" t="s">
        <v>9</v>
      </c>
      <c r="R48" s="24"/>
      <c r="S48" s="14" t="s">
        <v>60</v>
      </c>
      <c r="T48" s="13"/>
      <c r="BH48" s="1"/>
      <c r="BI48" s="1"/>
      <c r="BJ48" s="3"/>
      <c r="BK48" s="3"/>
      <c r="BL48"/>
      <c r="BS48" s="1"/>
      <c r="BT48" s="1"/>
      <c r="BU48" s="3"/>
      <c r="BV48" s="3"/>
    </row>
    <row r="49" spans="2:74" x14ac:dyDescent="0.2">
      <c r="F49" s="67" t="s">
        <v>135</v>
      </c>
      <c r="G49" s="68"/>
      <c r="H49" s="68"/>
      <c r="I49" s="11"/>
      <c r="K49" s="18" t="s">
        <v>131</v>
      </c>
      <c r="L49" s="19">
        <v>0.48499999999999999</v>
      </c>
      <c r="M49" s="14" t="s">
        <v>105</v>
      </c>
      <c r="O49" s="25" t="s">
        <v>134</v>
      </c>
      <c r="P49" s="36">
        <f>G72</f>
        <v>676.52009999999984</v>
      </c>
      <c r="Q49" s="24" t="s">
        <v>9</v>
      </c>
      <c r="R49" s="24"/>
      <c r="S49" s="14" t="s">
        <v>60</v>
      </c>
      <c r="T49" s="13"/>
      <c r="BH49" s="1"/>
      <c r="BI49" s="1"/>
      <c r="BJ49" s="3"/>
      <c r="BK49" s="3"/>
      <c r="BL49"/>
      <c r="BS49" s="1"/>
      <c r="BT49" s="1"/>
      <c r="BU49" s="3"/>
      <c r="BV49" s="3"/>
    </row>
    <row r="50" spans="2:74" x14ac:dyDescent="0.2">
      <c r="F50" s="12" t="s">
        <v>138</v>
      </c>
      <c r="G50" s="69">
        <f>AZ82</f>
        <v>0.4500437619305826</v>
      </c>
      <c r="H50" s="13"/>
      <c r="I50" s="14" t="s">
        <v>105</v>
      </c>
      <c r="K50" s="18" t="s">
        <v>133</v>
      </c>
      <c r="L50" s="19">
        <v>307.10000000000002</v>
      </c>
      <c r="M50" s="14" t="s">
        <v>258</v>
      </c>
      <c r="O50" s="25" t="s">
        <v>137</v>
      </c>
      <c r="P50" s="36">
        <f>G73</f>
        <v>3450.2525099999989</v>
      </c>
      <c r="Q50" s="24" t="s">
        <v>9</v>
      </c>
      <c r="R50" s="24"/>
      <c r="S50" s="14" t="s">
        <v>60</v>
      </c>
      <c r="T50" s="13"/>
      <c r="BH50" s="1"/>
      <c r="BI50" s="1"/>
      <c r="BJ50" s="3"/>
      <c r="BK50" s="3"/>
      <c r="BL50"/>
      <c r="BS50" s="1"/>
      <c r="BT50" s="1"/>
      <c r="BU50" s="3"/>
      <c r="BV50" s="3"/>
    </row>
    <row r="51" spans="2:74" x14ac:dyDescent="0.2">
      <c r="F51" s="12" t="s">
        <v>141</v>
      </c>
      <c r="G51" s="69">
        <f>AZ83</f>
        <v>0.5499562380694174</v>
      </c>
      <c r="H51" s="13"/>
      <c r="I51" s="14" t="s">
        <v>105</v>
      </c>
      <c r="K51" s="18" t="s">
        <v>136</v>
      </c>
      <c r="L51" s="19">
        <v>0.22</v>
      </c>
      <c r="M51" s="14" t="s">
        <v>105</v>
      </c>
      <c r="O51" s="25" t="s">
        <v>140</v>
      </c>
      <c r="P51" s="36">
        <f>G74</f>
        <v>6321</v>
      </c>
      <c r="Q51" s="24" t="s">
        <v>9</v>
      </c>
      <c r="R51" s="24"/>
      <c r="S51" s="14" t="s">
        <v>60</v>
      </c>
      <c r="T51" s="13"/>
      <c r="BH51" s="1"/>
      <c r="BI51" s="1"/>
      <c r="BJ51" s="3"/>
      <c r="BK51" s="3"/>
      <c r="BL51"/>
      <c r="BS51" s="1"/>
      <c r="BT51" s="1"/>
      <c r="BU51" s="3"/>
      <c r="BV51" s="3"/>
    </row>
    <row r="52" spans="2:74" x14ac:dyDescent="0.2">
      <c r="F52" s="12" t="s">
        <v>143</v>
      </c>
      <c r="G52" s="70">
        <f>SUM(I68:I74)/G23</f>
        <v>1.1628917645821355</v>
      </c>
      <c r="H52" s="13"/>
      <c r="I52" s="14" t="s">
        <v>105</v>
      </c>
      <c r="K52" s="25" t="s">
        <v>139</v>
      </c>
      <c r="L52" s="24">
        <f>P15</f>
        <v>35</v>
      </c>
      <c r="M52" s="14" t="s">
        <v>122</v>
      </c>
      <c r="O52" s="12" t="s">
        <v>244</v>
      </c>
      <c r="P52" s="35">
        <f>BN68</f>
        <v>246.69139855270336</v>
      </c>
      <c r="Q52" s="24" t="s">
        <v>194</v>
      </c>
      <c r="R52" s="24"/>
      <c r="S52" s="14" t="s">
        <v>60</v>
      </c>
      <c r="T52" s="13"/>
      <c r="BH52" s="1"/>
      <c r="BI52" s="1"/>
      <c r="BJ52" s="3"/>
      <c r="BK52" s="3"/>
      <c r="BL52"/>
      <c r="BS52" s="1"/>
      <c r="BT52" s="1"/>
      <c r="BU52" s="3"/>
      <c r="BV52" s="3"/>
    </row>
    <row r="53" spans="2:74" ht="16" thickBot="1" x14ac:dyDescent="0.25">
      <c r="F53" s="12" t="s">
        <v>144</v>
      </c>
      <c r="G53" s="70">
        <f>AZ74/AZ68</f>
        <v>3.439896560930888</v>
      </c>
      <c r="H53" s="13"/>
      <c r="I53" s="14" t="s">
        <v>105</v>
      </c>
      <c r="K53" s="31" t="s">
        <v>142</v>
      </c>
      <c r="L53" s="41">
        <f>P16</f>
        <v>0</v>
      </c>
      <c r="M53" s="33" t="s">
        <v>105</v>
      </c>
      <c r="O53" s="12" t="s">
        <v>245</v>
      </c>
      <c r="P53" s="35">
        <f>BN69</f>
        <v>3160.1556269976413</v>
      </c>
      <c r="Q53" s="24" t="s">
        <v>194</v>
      </c>
      <c r="R53" s="24"/>
      <c r="S53" s="14" t="s">
        <v>60</v>
      </c>
      <c r="T53" s="13"/>
      <c r="BH53" s="1"/>
      <c r="BI53" s="1"/>
      <c r="BJ53" s="3"/>
      <c r="BK53" s="3"/>
      <c r="BL53"/>
      <c r="BS53" s="1"/>
      <c r="BT53" s="1"/>
      <c r="BU53" s="3"/>
      <c r="BV53" s="3"/>
    </row>
    <row r="54" spans="2:74" x14ac:dyDescent="0.2">
      <c r="F54" s="12" t="s">
        <v>145</v>
      </c>
      <c r="G54" s="69">
        <f>SUM(AZ68:AZ71)/AZ75</f>
        <v>0.39635289214983077</v>
      </c>
      <c r="H54" s="13"/>
      <c r="I54" s="14" t="s">
        <v>105</v>
      </c>
      <c r="L54" s="39"/>
      <c r="M54" s="39"/>
      <c r="O54" s="12" t="s">
        <v>246</v>
      </c>
      <c r="P54" s="35">
        <f>BN70</f>
        <v>33488.139598700494</v>
      </c>
      <c r="Q54" s="24" t="s">
        <v>194</v>
      </c>
      <c r="R54" s="24"/>
      <c r="S54" s="14" t="s">
        <v>60</v>
      </c>
      <c r="T54" s="13"/>
      <c r="BH54" s="1"/>
      <c r="BI54" s="1"/>
      <c r="BJ54" s="3"/>
      <c r="BK54" s="3"/>
      <c r="BL54"/>
      <c r="BS54" s="1"/>
      <c r="BT54" s="1"/>
      <c r="BU54" s="3"/>
      <c r="BV54" s="3"/>
    </row>
    <row r="55" spans="2:74" x14ac:dyDescent="0.2">
      <c r="F55" s="12" t="s">
        <v>146</v>
      </c>
      <c r="G55" s="69">
        <f>SUM(AZ72:AZ74)/AZ75</f>
        <v>0.60364710785016917</v>
      </c>
      <c r="H55" s="13"/>
      <c r="I55" s="14" t="s">
        <v>105</v>
      </c>
      <c r="L55" s="39"/>
      <c r="M55" s="39"/>
      <c r="O55" s="12" t="s">
        <v>247</v>
      </c>
      <c r="P55" s="35">
        <f>BN71</f>
        <v>334540.41191393929</v>
      </c>
      <c r="Q55" s="24" t="s">
        <v>194</v>
      </c>
      <c r="R55" s="24"/>
      <c r="S55" s="14" t="s">
        <v>60</v>
      </c>
      <c r="T55" s="13"/>
      <c r="BB55" s="3"/>
      <c r="BC55" s="3"/>
      <c r="BD55" s="3"/>
      <c r="BE55" s="3"/>
      <c r="BF55" s="3"/>
      <c r="BG55" s="3"/>
      <c r="BH55" s="1"/>
      <c r="BI55" s="1"/>
      <c r="BJ55" s="3"/>
      <c r="BK55" s="3"/>
      <c r="BL55"/>
      <c r="BM55" s="3"/>
      <c r="BN55" s="3"/>
      <c r="BO55" s="3"/>
      <c r="BP55" s="3"/>
      <c r="BQ55" s="3"/>
      <c r="BR55" s="3"/>
      <c r="BT55" s="1"/>
      <c r="BU55" s="3"/>
      <c r="BV55" s="3"/>
    </row>
    <row r="56" spans="2:74" ht="16" thickBot="1" x14ac:dyDescent="0.25">
      <c r="F56" s="71" t="s">
        <v>147</v>
      </c>
      <c r="G56" s="72">
        <f>G25/(G24*G25^G31)</f>
        <v>0.4171288602209452</v>
      </c>
      <c r="H56" s="73"/>
      <c r="I56" s="33" t="s">
        <v>105</v>
      </c>
      <c r="L56" s="39"/>
      <c r="M56" s="39"/>
      <c r="O56" s="12" t="s">
        <v>248</v>
      </c>
      <c r="P56" s="35">
        <f>BN72</f>
        <v>3284362.202784393</v>
      </c>
      <c r="Q56" s="24" t="s">
        <v>194</v>
      </c>
      <c r="R56" s="24"/>
      <c r="S56" s="14" t="s">
        <v>60</v>
      </c>
      <c r="T56" s="13"/>
      <c r="BB56" s="3"/>
      <c r="BC56" s="3"/>
      <c r="BD56" s="3"/>
      <c r="BE56" s="3"/>
      <c r="BF56" s="3"/>
      <c r="BG56" s="3"/>
      <c r="BH56" s="1"/>
      <c r="BI56"/>
      <c r="BK56"/>
      <c r="BL56"/>
      <c r="BM56"/>
      <c r="BN56"/>
      <c r="BO56"/>
      <c r="BP56"/>
      <c r="BQ56"/>
      <c r="BR56" s="3"/>
      <c r="BT56" s="1"/>
      <c r="BU56" s="3"/>
      <c r="BV56" s="3"/>
    </row>
    <row r="57" spans="2:74" x14ac:dyDescent="0.2">
      <c r="O57" s="12" t="s">
        <v>249</v>
      </c>
      <c r="P57" s="35">
        <f>BN73</f>
        <v>33585753.26839941</v>
      </c>
      <c r="Q57" s="24" t="s">
        <v>194</v>
      </c>
      <c r="R57" s="24"/>
      <c r="S57" s="14" t="s">
        <v>60</v>
      </c>
      <c r="T57" s="13"/>
      <c r="BB57" s="3"/>
      <c r="BC57" s="3"/>
      <c r="BD57" s="3"/>
      <c r="BE57" s="3"/>
      <c r="BF57" s="3"/>
      <c r="BG57" s="3"/>
      <c r="BH57" s="1"/>
      <c r="BI57"/>
      <c r="BK57"/>
      <c r="BL57"/>
      <c r="BM57"/>
      <c r="BN57"/>
      <c r="BO57"/>
      <c r="BP57"/>
      <c r="BQ57"/>
      <c r="BR57" s="3"/>
      <c r="BT57" s="1"/>
      <c r="BU57" s="3"/>
      <c r="BV57" s="3"/>
    </row>
    <row r="58" spans="2:74" ht="16" thickBot="1" x14ac:dyDescent="0.25">
      <c r="O58" s="71" t="s">
        <v>250</v>
      </c>
      <c r="P58" s="82">
        <f>BN74</f>
        <v>96741504.217010766</v>
      </c>
      <c r="Q58" s="41" t="s">
        <v>194</v>
      </c>
      <c r="R58" s="41"/>
      <c r="S58" s="33" t="s">
        <v>60</v>
      </c>
      <c r="T58" s="24"/>
      <c r="BH58" s="1"/>
      <c r="BJ58" s="3"/>
      <c r="BK58"/>
      <c r="BS58" s="1"/>
    </row>
    <row r="59" spans="2:74" x14ac:dyDescent="0.2">
      <c r="N59" s="13"/>
      <c r="O59" s="35"/>
      <c r="P59" s="24"/>
      <c r="Q59" s="24"/>
      <c r="R59" s="24"/>
      <c r="AW59" s="29"/>
      <c r="AX59" s="29"/>
      <c r="AY59" s="29"/>
      <c r="AZ59" s="40"/>
      <c r="BA59" s="40"/>
      <c r="BB59" s="40"/>
      <c r="BC59" s="40"/>
      <c r="BD59" s="40"/>
      <c r="BE59" s="40"/>
      <c r="BF59" s="29"/>
      <c r="BG59" s="29"/>
      <c r="BH59" s="40"/>
      <c r="BI59" s="40"/>
      <c r="BK59" s="40"/>
      <c r="BL59" s="3"/>
      <c r="BM59" s="40"/>
      <c r="BN59" s="3"/>
      <c r="BO59" s="3"/>
      <c r="BP59" s="3"/>
      <c r="BQ59" s="3"/>
      <c r="BS59" s="1"/>
      <c r="BT59" s="1"/>
    </row>
    <row r="60" spans="2:74" s="83" customFormat="1" x14ac:dyDescent="0.2">
      <c r="N60" s="84"/>
      <c r="O60" s="85"/>
      <c r="P60" s="84"/>
      <c r="Q60" s="84"/>
      <c r="R60" s="84"/>
      <c r="AW60" s="86"/>
      <c r="AX60" s="86"/>
      <c r="AY60" s="86"/>
      <c r="AZ60" s="86"/>
      <c r="BA60" s="86"/>
      <c r="BB60" s="86"/>
      <c r="BC60" s="86"/>
      <c r="BD60" s="86"/>
      <c r="BE60" s="86"/>
      <c r="BF60" s="86"/>
      <c r="BG60" s="86"/>
      <c r="BH60" s="86"/>
      <c r="BI60" s="86"/>
      <c r="BJ60" s="87"/>
      <c r="BK60" s="86"/>
      <c r="BM60" s="86"/>
      <c r="BP60" s="104"/>
    </row>
    <row r="61" spans="2:74" ht="16" thickBot="1" x14ac:dyDescent="0.25">
      <c r="N61" s="13"/>
      <c r="O61" s="35"/>
      <c r="P61" s="24"/>
      <c r="Q61" s="24"/>
      <c r="R61" s="24"/>
      <c r="AV61" s="1" t="s">
        <v>148</v>
      </c>
      <c r="AW61" s="1" t="s">
        <v>148</v>
      </c>
      <c r="AX61" s="29" t="s">
        <v>149</v>
      </c>
      <c r="AY61" s="29" t="s">
        <v>149</v>
      </c>
      <c r="AZ61" s="29" t="s">
        <v>149</v>
      </c>
      <c r="BA61" s="40" t="s">
        <v>273</v>
      </c>
      <c r="BB61" s="40" t="s">
        <v>273</v>
      </c>
      <c r="BC61" s="40" t="s">
        <v>273</v>
      </c>
      <c r="BD61" s="40" t="s">
        <v>273</v>
      </c>
      <c r="BE61" s="40" t="s">
        <v>273</v>
      </c>
      <c r="BF61" s="100" t="s">
        <v>274</v>
      </c>
      <c r="BG61" s="40" t="s">
        <v>274</v>
      </c>
      <c r="BH61" s="40" t="s">
        <v>274</v>
      </c>
      <c r="BI61" s="40" t="s">
        <v>274</v>
      </c>
      <c r="BP61" s="102" t="s">
        <v>282</v>
      </c>
      <c r="BT61" s="1"/>
    </row>
    <row r="62" spans="2:74" x14ac:dyDescent="0.2">
      <c r="B62" s="1" t="s">
        <v>262</v>
      </c>
      <c r="J62" s="9"/>
      <c r="K62" s="10"/>
      <c r="L62" s="10"/>
      <c r="M62" s="10"/>
      <c r="N62" s="10"/>
      <c r="O62" s="10"/>
      <c r="P62" s="10"/>
      <c r="Q62" s="11"/>
      <c r="U62" s="24"/>
      <c r="V62" s="24"/>
      <c r="W62" s="24"/>
      <c r="X62" s="24"/>
      <c r="AB62" s="24"/>
      <c r="AC62" s="24"/>
      <c r="AD62" s="24"/>
      <c r="AE62" s="24"/>
      <c r="AF62" s="24"/>
      <c r="AH62" s="1" t="s">
        <v>156</v>
      </c>
      <c r="AL62" s="1" t="s">
        <v>157</v>
      </c>
      <c r="AM62" s="1" t="s">
        <v>158</v>
      </c>
      <c r="AN62" s="1" t="s">
        <v>159</v>
      </c>
      <c r="AO62" s="1" t="s">
        <v>160</v>
      </c>
      <c r="AQ62" s="1" t="s">
        <v>160</v>
      </c>
      <c r="AS62"/>
      <c r="AT62" s="1" t="s">
        <v>162</v>
      </c>
      <c r="AU62" s="1" t="s">
        <v>161</v>
      </c>
      <c r="AV62" s="29" t="s">
        <v>163</v>
      </c>
      <c r="AZ62" s="3"/>
      <c r="BA62" s="3"/>
      <c r="BB62" s="3"/>
      <c r="BC62" s="3"/>
      <c r="BD62" s="3"/>
      <c r="BE62" s="3"/>
      <c r="BK62"/>
      <c r="BL62" s="40"/>
      <c r="BM62" s="3"/>
      <c r="BN62" s="40"/>
      <c r="BO62" s="3"/>
      <c r="BP62" s="105"/>
      <c r="BQ62" s="3"/>
      <c r="BR62" s="3"/>
      <c r="BS62" s="1"/>
      <c r="BT62" s="1"/>
    </row>
    <row r="63" spans="2:74" x14ac:dyDescent="0.2">
      <c r="J63" s="25" t="s">
        <v>164</v>
      </c>
      <c r="K63" s="24"/>
      <c r="L63" s="24"/>
      <c r="M63" s="24"/>
      <c r="N63" s="24"/>
      <c r="O63" s="24"/>
      <c r="P63" s="24"/>
      <c r="Q63" s="14"/>
      <c r="R63" s="24" t="s">
        <v>154</v>
      </c>
      <c r="S63" s="24"/>
      <c r="T63" s="24"/>
      <c r="U63" s="24" t="s">
        <v>166</v>
      </c>
      <c r="V63" s="24"/>
      <c r="W63" s="24"/>
      <c r="X63" s="24"/>
      <c r="Y63" s="24" t="s">
        <v>155</v>
      </c>
      <c r="Z63" s="24"/>
      <c r="AA63" s="24"/>
      <c r="AB63" s="24"/>
      <c r="AC63" s="24" t="s">
        <v>166</v>
      </c>
      <c r="AD63" s="24"/>
      <c r="AE63" s="24"/>
      <c r="AF63" s="24"/>
      <c r="AO63" s="1" t="s">
        <v>267</v>
      </c>
      <c r="AP63" s="1" t="s">
        <v>268</v>
      </c>
      <c r="AQ63" s="1" t="s">
        <v>269</v>
      </c>
      <c r="AR63" s="1" t="s">
        <v>270</v>
      </c>
      <c r="AS63"/>
      <c r="AT63" s="1" t="s">
        <v>169</v>
      </c>
      <c r="AU63" s="1" t="s">
        <v>168</v>
      </c>
      <c r="AZ63" s="40" t="s">
        <v>170</v>
      </c>
      <c r="BA63" s="40"/>
      <c r="BB63" s="40"/>
      <c r="BC63" s="40"/>
      <c r="BD63" s="40"/>
      <c r="BE63" s="40"/>
      <c r="BF63" s="102"/>
      <c r="BK63" s="40" t="s">
        <v>275</v>
      </c>
      <c r="BL63" s="3" t="s">
        <v>276</v>
      </c>
      <c r="BM63" s="40" t="s">
        <v>277</v>
      </c>
      <c r="BN63" s="3" t="s">
        <v>278</v>
      </c>
      <c r="BO63" s="3"/>
      <c r="BP63" s="105"/>
      <c r="BQ63" s="3"/>
      <c r="BR63" s="1" t="s">
        <v>279</v>
      </c>
      <c r="BS63" s="1" t="s">
        <v>280</v>
      </c>
      <c r="BT63" s="29" t="s">
        <v>281</v>
      </c>
    </row>
    <row r="64" spans="2:74" ht="16" thickBot="1" x14ac:dyDescent="0.25">
      <c r="J64" s="31" t="s">
        <v>171</v>
      </c>
      <c r="K64" s="41"/>
      <c r="L64" s="41"/>
      <c r="M64" s="41"/>
      <c r="N64" s="41" t="s">
        <v>172</v>
      </c>
      <c r="O64" s="41"/>
      <c r="P64" s="41"/>
      <c r="Q64" s="33"/>
      <c r="R64" s="24" t="s">
        <v>165</v>
      </c>
      <c r="S64" s="24"/>
      <c r="T64" s="24"/>
      <c r="U64" s="24" t="s">
        <v>154</v>
      </c>
      <c r="V64" s="24"/>
      <c r="W64" s="24"/>
      <c r="X64" s="24"/>
      <c r="Y64" s="24" t="s">
        <v>165</v>
      </c>
      <c r="Z64" s="24"/>
      <c r="AA64" s="24"/>
      <c r="AB64" s="24" t="s">
        <v>176</v>
      </c>
      <c r="AC64" s="24" t="s">
        <v>155</v>
      </c>
      <c r="AD64" s="24"/>
      <c r="AE64" s="24"/>
      <c r="AF64" s="24" t="s">
        <v>177</v>
      </c>
      <c r="AG64" s="1" t="s">
        <v>178</v>
      </c>
      <c r="AH64" s="1" t="s">
        <v>167</v>
      </c>
      <c r="AI64" s="1" t="s">
        <v>179</v>
      </c>
      <c r="AJ64" s="1" t="s">
        <v>167</v>
      </c>
      <c r="AK64" s="1" t="s">
        <v>179</v>
      </c>
      <c r="AS64"/>
      <c r="AT64" s="1" t="s">
        <v>181</v>
      </c>
      <c r="AV64" s="1" t="s">
        <v>182</v>
      </c>
      <c r="AW64" s="1" t="s">
        <v>183</v>
      </c>
      <c r="AX64" s="1" t="s">
        <v>184</v>
      </c>
      <c r="AY64" s="1" t="s">
        <v>272</v>
      </c>
      <c r="AZ64" s="3" t="s">
        <v>185</v>
      </c>
      <c r="BA64" s="42" t="s">
        <v>186</v>
      </c>
      <c r="BB64" s="42" t="s">
        <v>187</v>
      </c>
      <c r="BC64" s="42" t="s">
        <v>188</v>
      </c>
      <c r="BD64" s="42" t="s">
        <v>189</v>
      </c>
      <c r="BE64" s="42" t="s">
        <v>190</v>
      </c>
      <c r="BF64" s="101" t="s">
        <v>150</v>
      </c>
      <c r="BG64" s="29" t="s">
        <v>151</v>
      </c>
      <c r="BH64" s="40" t="s">
        <v>152</v>
      </c>
      <c r="BI64" s="40" t="s">
        <v>153</v>
      </c>
      <c r="BK64" s="3" t="s">
        <v>191</v>
      </c>
      <c r="BL64" s="40" t="s">
        <v>192</v>
      </c>
      <c r="BM64" s="3" t="s">
        <v>191</v>
      </c>
      <c r="BN64" s="40" t="s">
        <v>192</v>
      </c>
      <c r="BO64" s="3" t="s">
        <v>189</v>
      </c>
      <c r="BP64" s="105" t="s">
        <v>25</v>
      </c>
      <c r="BQ64" s="3" t="s">
        <v>193</v>
      </c>
      <c r="BR64" s="1" t="s">
        <v>194</v>
      </c>
      <c r="BS64" s="1" t="s">
        <v>195</v>
      </c>
      <c r="BT64" s="29" t="s">
        <v>125</v>
      </c>
    </row>
    <row r="65" spans="1:73" x14ac:dyDescent="0.2">
      <c r="C65"/>
      <c r="E65" s="1" t="s">
        <v>196</v>
      </c>
      <c r="F65" s="1" t="s">
        <v>197</v>
      </c>
      <c r="G65" s="1" t="s">
        <v>198</v>
      </c>
      <c r="H65" s="1" t="s">
        <v>199</v>
      </c>
      <c r="I65" s="1" t="s">
        <v>32</v>
      </c>
      <c r="J65" s="25" t="s">
        <v>200</v>
      </c>
      <c r="K65" s="24" t="s">
        <v>201</v>
      </c>
      <c r="L65" s="24" t="s">
        <v>202</v>
      </c>
      <c r="M65" s="24" t="s">
        <v>203</v>
      </c>
      <c r="N65" s="24" t="s">
        <v>200</v>
      </c>
      <c r="O65" s="24" t="s">
        <v>201</v>
      </c>
      <c r="P65" s="24" t="s">
        <v>202</v>
      </c>
      <c r="Q65" s="14" t="s">
        <v>203</v>
      </c>
      <c r="R65" s="24" t="s">
        <v>173</v>
      </c>
      <c r="S65" s="24" t="s">
        <v>174</v>
      </c>
      <c r="T65" s="24" t="s">
        <v>175</v>
      </c>
      <c r="U65" s="1" t="s">
        <v>200</v>
      </c>
      <c r="V65" s="1" t="s">
        <v>201</v>
      </c>
      <c r="W65" s="1" t="s">
        <v>202</v>
      </c>
      <c r="X65" s="1" t="s">
        <v>203</v>
      </c>
      <c r="Y65" s="24" t="s">
        <v>173</v>
      </c>
      <c r="Z65" s="24" t="s">
        <v>174</v>
      </c>
      <c r="AA65" s="24" t="s">
        <v>175</v>
      </c>
      <c r="AB65" s="1" t="s">
        <v>200</v>
      </c>
      <c r="AC65" s="1" t="s">
        <v>201</v>
      </c>
      <c r="AD65" s="1" t="s">
        <v>202</v>
      </c>
      <c r="AE65" s="1" t="s">
        <v>203</v>
      </c>
      <c r="AF65" s="1" t="s">
        <v>204</v>
      </c>
      <c r="AG65" s="1" t="s">
        <v>204</v>
      </c>
      <c r="AH65" s="1" t="s">
        <v>205</v>
      </c>
      <c r="AI65" s="1" t="s">
        <v>205</v>
      </c>
      <c r="AJ65" s="1" t="s">
        <v>206</v>
      </c>
      <c r="AK65" s="1" t="s">
        <v>206</v>
      </c>
      <c r="AL65" s="1" t="s">
        <v>180</v>
      </c>
      <c r="AM65" s="1" t="s">
        <v>206</v>
      </c>
      <c r="AN65" s="1" t="s">
        <v>207</v>
      </c>
      <c r="AO65" s="1" t="s">
        <v>207</v>
      </c>
      <c r="AP65" s="1" t="s">
        <v>208</v>
      </c>
      <c r="AQ65" s="1" t="s">
        <v>207</v>
      </c>
      <c r="AR65" s="1" t="s">
        <v>208</v>
      </c>
      <c r="AS65"/>
      <c r="AV65" s="1" t="s">
        <v>194</v>
      </c>
      <c r="AW65" s="1" t="s">
        <v>194</v>
      </c>
      <c r="AX65" s="1" t="s">
        <v>194</v>
      </c>
      <c r="AY65" s="1" t="s">
        <v>194</v>
      </c>
      <c r="AZ65" s="40" t="s">
        <v>194</v>
      </c>
      <c r="BA65" s="42" t="s">
        <v>209</v>
      </c>
      <c r="BB65" s="42"/>
      <c r="BC65" s="42"/>
      <c r="BD65" s="42"/>
      <c r="BE65" s="42"/>
      <c r="BF65" s="102" t="s">
        <v>210</v>
      </c>
      <c r="BG65" s="1" t="s">
        <v>210</v>
      </c>
      <c r="BH65" s="3" t="s">
        <v>194</v>
      </c>
      <c r="BI65" s="3" t="s">
        <v>194</v>
      </c>
      <c r="BK65" s="40" t="s">
        <v>194</v>
      </c>
      <c r="BL65" s="40" t="s">
        <v>194</v>
      </c>
      <c r="BM65" s="40" t="s">
        <v>194</v>
      </c>
      <c r="BN65" s="40" t="s">
        <v>194</v>
      </c>
      <c r="BO65" s="40" t="s">
        <v>9</v>
      </c>
      <c r="BP65" s="105"/>
      <c r="BQ65" s="3" t="s">
        <v>212</v>
      </c>
      <c r="BS65" s="1"/>
      <c r="BT65" s="1"/>
    </row>
    <row r="66" spans="1:73" x14ac:dyDescent="0.2">
      <c r="C66"/>
      <c r="J66" s="25" t="s">
        <v>213</v>
      </c>
      <c r="K66" s="24" t="s">
        <v>110</v>
      </c>
      <c r="L66" s="24" t="s">
        <v>110</v>
      </c>
      <c r="M66" s="24" t="s">
        <v>117</v>
      </c>
      <c r="N66" s="24" t="s">
        <v>213</v>
      </c>
      <c r="O66" s="24" t="s">
        <v>110</v>
      </c>
      <c r="P66" s="24" t="s">
        <v>110</v>
      </c>
      <c r="Q66" s="14" t="s">
        <v>117</v>
      </c>
      <c r="R66" s="1" t="s">
        <v>110</v>
      </c>
      <c r="S66" s="1" t="s">
        <v>110</v>
      </c>
      <c r="T66" s="1" t="s">
        <v>117</v>
      </c>
      <c r="U66" s="1" t="s">
        <v>213</v>
      </c>
      <c r="V66" s="1" t="s">
        <v>110</v>
      </c>
      <c r="W66" s="1" t="s">
        <v>110</v>
      </c>
      <c r="X66" s="1" t="s">
        <v>117</v>
      </c>
      <c r="Y66" s="1" t="s">
        <v>110</v>
      </c>
      <c r="Z66" s="1" t="s">
        <v>110</v>
      </c>
      <c r="AA66" s="1" t="s">
        <v>117</v>
      </c>
      <c r="AB66" s="1" t="s">
        <v>213</v>
      </c>
      <c r="AC66" s="1" t="s">
        <v>110</v>
      </c>
      <c r="AD66" s="1" t="s">
        <v>110</v>
      </c>
      <c r="AE66" s="1" t="s">
        <v>117</v>
      </c>
      <c r="AF66" s="1" t="s">
        <v>9</v>
      </c>
      <c r="AG66" s="1" t="s">
        <v>9</v>
      </c>
      <c r="AH66" s="1" t="s">
        <v>214</v>
      </c>
      <c r="AI66" s="1" t="s">
        <v>214</v>
      </c>
      <c r="AJ66" s="1" t="s">
        <v>122</v>
      </c>
      <c r="AK66" s="1" t="s">
        <v>122</v>
      </c>
      <c r="AL66" s="1" t="s">
        <v>122</v>
      </c>
      <c r="AM66" s="1" t="s">
        <v>122</v>
      </c>
      <c r="AN66" s="1" t="s">
        <v>215</v>
      </c>
      <c r="AO66" s="1" t="s">
        <v>215</v>
      </c>
      <c r="AP66" s="1" t="s">
        <v>215</v>
      </c>
      <c r="AQ66" s="1" t="s">
        <v>215</v>
      </c>
      <c r="AR66" s="1" t="s">
        <v>215</v>
      </c>
      <c r="AS66"/>
      <c r="AT66" s="29" t="s">
        <v>105</v>
      </c>
      <c r="AU66" s="29" t="s">
        <v>105</v>
      </c>
      <c r="AZ66" s="3"/>
      <c r="BA66" s="42" t="s">
        <v>105</v>
      </c>
      <c r="BB66" s="42" t="s">
        <v>194</v>
      </c>
      <c r="BC66" s="42" t="s">
        <v>194</v>
      </c>
      <c r="BD66" s="42" t="s">
        <v>9</v>
      </c>
      <c r="BE66" s="42" t="s">
        <v>9</v>
      </c>
      <c r="BF66" s="102"/>
      <c r="BP66" s="105"/>
      <c r="BQ66" s="3"/>
      <c r="BS66" s="1"/>
      <c r="BT66" s="1"/>
    </row>
    <row r="67" spans="1:73" x14ac:dyDescent="0.2">
      <c r="C67"/>
      <c r="E67" s="1">
        <v>0</v>
      </c>
      <c r="G67" s="6">
        <f>G68/G25</f>
        <v>0.19607843137254904</v>
      </c>
      <c r="J67" s="43">
        <f>$G$27*G67*1000/365/86400</f>
        <v>3.1088031356631953E-3</v>
      </c>
      <c r="K67" s="24"/>
      <c r="L67" s="24"/>
      <c r="M67" s="24"/>
      <c r="N67" s="24"/>
      <c r="O67" s="24"/>
      <c r="P67" s="24"/>
      <c r="Q67" s="14"/>
      <c r="U67" s="6">
        <f>$G$28*G67*1000/365/86400</f>
        <v>3.1088031356631953E-3</v>
      </c>
      <c r="AS67"/>
      <c r="AU67" s="1">
        <f>(2*G67)/G68</f>
        <v>0.39215686274509809</v>
      </c>
      <c r="AV67" s="27">
        <f>$G$47*AU68*AU67</f>
        <v>66733.138080132383</v>
      </c>
      <c r="AW67" s="27"/>
      <c r="AX67" s="27"/>
      <c r="AY67" s="27"/>
      <c r="AZ67" s="3"/>
      <c r="BA67" s="42"/>
      <c r="BB67" s="42"/>
      <c r="BC67" s="42"/>
      <c r="BD67" s="42"/>
      <c r="BE67" s="42"/>
      <c r="BF67" s="103"/>
      <c r="BG67" s="27"/>
      <c r="BH67" s="44"/>
      <c r="BI67" s="44"/>
      <c r="BK67" s="3"/>
      <c r="BL67" s="3"/>
      <c r="BM67" s="3"/>
      <c r="BN67" s="3"/>
      <c r="BO67" s="3"/>
      <c r="BP67" s="105"/>
      <c r="BQ67" s="3"/>
      <c r="BS67" s="1"/>
      <c r="BT67" s="1"/>
    </row>
    <row r="68" spans="1:73" x14ac:dyDescent="0.2">
      <c r="A68" s="45"/>
      <c r="B68" s="45"/>
      <c r="C68"/>
      <c r="E68" s="1">
        <v>1</v>
      </c>
      <c r="F68" s="39">
        <f>NetworkGeomorphology!D26</f>
        <v>1</v>
      </c>
      <c r="G68" s="39">
        <f>NetworkGeomorphology!F26</f>
        <v>1</v>
      </c>
      <c r="H68" s="39">
        <f>NetworkGeomorphology!E26</f>
        <v>3403.3900420867512</v>
      </c>
      <c r="I68" s="27">
        <f t="shared" ref="I68:I74" si="0">H68*F68</f>
        <v>3403.3900420867512</v>
      </c>
      <c r="J68" s="43">
        <f>$G$27*G68*1000/365/86400</f>
        <v>1.5854895991882292E-2</v>
      </c>
      <c r="K68" s="38">
        <f>G$33*$J68^G$34</f>
        <v>6.2583299322140365E-2</v>
      </c>
      <c r="L68" s="38">
        <f>G$30*$J68^G$31</f>
        <v>0.99834186742914377</v>
      </c>
      <c r="M68" s="38">
        <f>G$36*$J68^G$37</f>
        <v>0.25376145628718288</v>
      </c>
      <c r="N68" s="38">
        <f t="shared" ref="N68:N71" si="1">2*J67+(J68-2*J67)/2</f>
        <v>1.1036251131604342E-2</v>
      </c>
      <c r="O68" s="38">
        <f>G$33*N68^G$34</f>
        <v>5.4732083444145027E-2</v>
      </c>
      <c r="P68" s="38">
        <f>G$30*N68^G$31</f>
        <v>0.80329338506253134</v>
      </c>
      <c r="Q68" s="46">
        <f>G$36*N68^G$37</f>
        <v>0.25101831112983142</v>
      </c>
      <c r="R68" s="45">
        <f>K68/($J68^$G$35)</f>
        <v>0.32839239872198978</v>
      </c>
      <c r="S68" s="45">
        <f>L68/($J68^$G$32)</f>
        <v>2.2868970012349936</v>
      </c>
      <c r="T68" s="45">
        <f>M68/($J68^$G$38)</f>
        <v>1.3315586464111544</v>
      </c>
      <c r="U68" s="6">
        <f>$G$28*G68*1000/365/86400</f>
        <v>1.5854895991882292E-2</v>
      </c>
      <c r="V68" s="6">
        <f>R68*$U68^G$35</f>
        <v>6.2583299322140365E-2</v>
      </c>
      <c r="W68" s="6">
        <f>S68*$U68^G$32</f>
        <v>0.99834186742914377</v>
      </c>
      <c r="X68" s="6">
        <f>T68*$U68^G$38</f>
        <v>0.25376145628718288</v>
      </c>
      <c r="Y68" s="45">
        <f>O68/($N68^$G$35)</f>
        <v>0.33198109316507901</v>
      </c>
      <c r="Z68" s="45">
        <f>P68/($N68^$G$32)</f>
        <v>1.9783807417103469</v>
      </c>
      <c r="AA68" s="45">
        <f>Q68/($N68^$G$38)</f>
        <v>1.5225682650721009</v>
      </c>
      <c r="AB68" s="6">
        <f>2*U67+(U68-2*U67)/2</f>
        <v>1.1036251131604342E-2</v>
      </c>
      <c r="AC68" s="6">
        <f>Y68*$AB68^G$35</f>
        <v>5.4732083444145027E-2</v>
      </c>
      <c r="AD68" s="6">
        <f>Z68*$AB68^G$32</f>
        <v>0.80329338506253134</v>
      </c>
      <c r="AE68" s="6">
        <f>AA68*$AB68^G$38</f>
        <v>0.25101831112983142</v>
      </c>
      <c r="AF68" s="47">
        <f>(AD68/1000)*F68</f>
        <v>8.0329338506253129E-4</v>
      </c>
      <c r="AG68" s="39">
        <f t="shared" ref="AG68:AG74" si="2">AF68*H68</f>
        <v>2.7339207075959773</v>
      </c>
      <c r="AH68" s="6">
        <f>((F68*1000)/AE68)/86400</f>
        <v>4.6108485161816516E-2</v>
      </c>
      <c r="AI68" s="6">
        <f>((F68/2*1000)/X68)/86400</f>
        <v>2.2805027689027067E-2</v>
      </c>
      <c r="AJ68" s="48">
        <f>AC68/AH68*365</f>
        <v>433.26538243456577</v>
      </c>
      <c r="AK68" s="39">
        <f>V68/AI68*365</f>
        <v>1001.6608865409266</v>
      </c>
      <c r="AL68" s="49">
        <f t="shared" ref="AL68:AL74" si="3">$L$52*G68^$L$53</f>
        <v>35</v>
      </c>
      <c r="AM68" s="39">
        <f>AB68/(AD68*(1000))*86400*365</f>
        <v>433.26538243456577</v>
      </c>
      <c r="AN68" s="6">
        <f t="shared" ref="AN68:AN71" si="4">1-EXP(-AL68/AM68)</f>
        <v>7.7605154479036043E-2</v>
      </c>
      <c r="AO68" s="50">
        <f t="shared" ref="AO68:AO71" si="5">(1-EXP(-AL68/AJ68))</f>
        <v>7.7605154479036043E-2</v>
      </c>
      <c r="AP68" s="45">
        <f>1-AO68</f>
        <v>0.92239484552096396</v>
      </c>
      <c r="AQ68" s="45">
        <f t="shared" ref="AQ68:AQ71" si="6">(1-EXP(-AL68/AK68))</f>
        <v>3.4338543553617984E-2</v>
      </c>
      <c r="AR68" s="45">
        <f>1-AQ68</f>
        <v>0.96566145644638202</v>
      </c>
      <c r="AS68"/>
      <c r="AT68" s="45">
        <f>H68*G68/G23</f>
        <v>0.53842588863894181</v>
      </c>
      <c r="AU68" s="45">
        <f>AT68</f>
        <v>0.53842588863894181</v>
      </c>
      <c r="AV68" s="27">
        <f>$G$47*AU68-AV67</f>
        <v>103436.36402420518</v>
      </c>
      <c r="AW68" s="27">
        <f>AV67</f>
        <v>66733.138080132383</v>
      </c>
      <c r="AX68" s="27">
        <f>AV68</f>
        <v>103436.36402420518</v>
      </c>
      <c r="AY68" s="27">
        <f>AX68*AR68+AW68*AP68</f>
        <v>161438.81252368499</v>
      </c>
      <c r="AZ68" s="51">
        <f>AX68+AW68-AY68</f>
        <v>8730.6895806525717</v>
      </c>
      <c r="BA68" s="52">
        <f>AZ68/G$47</f>
        <v>2.7624393547389881E-2</v>
      </c>
      <c r="BB68" s="52">
        <f>AZ68/H68</f>
        <v>2.5652920977871361</v>
      </c>
      <c r="BC68" s="52">
        <f>BB68</f>
        <v>2.5652920977871361</v>
      </c>
      <c r="BD68" s="53">
        <f>AF68</f>
        <v>8.0329338506253129E-4</v>
      </c>
      <c r="BE68" s="53">
        <f>(AV68+AV67)/H68</f>
        <v>50</v>
      </c>
      <c r="BF68" s="103">
        <f>$L$48*G68^$L$49</f>
        <v>16.399999999999999</v>
      </c>
      <c r="BG68" s="27">
        <f>$L$50*G68^$L$51</f>
        <v>307.10000000000002</v>
      </c>
      <c r="BH68" s="44">
        <f>BF68*1000*1000/1000*AG68</f>
        <v>44836.299604574029</v>
      </c>
      <c r="BI68" s="44">
        <f>BG68*1000*1000/1000*AG68</f>
        <v>839587.04930272466</v>
      </c>
      <c r="BK68" s="54">
        <f>IF(H68=0,0,BH68/H68)</f>
        <v>13.174011515025514</v>
      </c>
      <c r="BL68" s="54">
        <f>BK68</f>
        <v>13.174011515025514</v>
      </c>
      <c r="BM68" s="54">
        <f>IF(H68=0,0,BI68/H68)</f>
        <v>246.69139855270336</v>
      </c>
      <c r="BN68" s="54">
        <f>BM68</f>
        <v>246.69139855270336</v>
      </c>
      <c r="BO68" s="55">
        <f>AF68</f>
        <v>8.0329338506253129E-4</v>
      </c>
      <c r="BP68" s="106">
        <v>1</v>
      </c>
      <c r="BQ68" s="3">
        <f>($G$46/1000^2)/($G$28/1000)*1000</f>
        <v>0.1</v>
      </c>
      <c r="BR68" s="27">
        <f>AW68+AX68</f>
        <v>170169.50210433756</v>
      </c>
      <c r="BS68" s="1">
        <f>G28*$G$23*AU68*1000</f>
        <v>1701695021.0433755</v>
      </c>
      <c r="BT68" s="1">
        <f>BR68/BS68*1000</f>
        <v>0.1</v>
      </c>
    </row>
    <row r="69" spans="1:73" x14ac:dyDescent="0.2">
      <c r="A69" s="45"/>
      <c r="B69" s="45"/>
      <c r="C69"/>
      <c r="E69" s="1">
        <v>2</v>
      </c>
      <c r="F69" s="39">
        <f>NetworkGeomorphology!D27</f>
        <v>2.5</v>
      </c>
      <c r="G69" s="39">
        <f>NetworkGeomorphology!F27</f>
        <v>5.0999999999999996</v>
      </c>
      <c r="H69" s="39">
        <f>NetworkGeomorphology!E27</f>
        <v>739.86740045364172</v>
      </c>
      <c r="I69" s="27">
        <f t="shared" si="0"/>
        <v>1849.6685011341042</v>
      </c>
      <c r="J69" s="43">
        <f>$G$27*G69*1000/365/86400</f>
        <v>8.0859969558599698E-2</v>
      </c>
      <c r="K69" s="38">
        <f>G$33*$J69^G$34</f>
        <v>0.11435612220592936</v>
      </c>
      <c r="L69" s="38">
        <f>G$30*$J69^G$31</f>
        <v>2.653514041717457</v>
      </c>
      <c r="M69" s="38">
        <f>G$36*$J69^G$37</f>
        <v>0.26647272508155206</v>
      </c>
      <c r="N69" s="38">
        <f t="shared" si="1"/>
        <v>5.6284880771182141E-2</v>
      </c>
      <c r="O69" s="38">
        <f>G$33*N69^G$34</f>
        <v>0.1000098890713088</v>
      </c>
      <c r="P69" s="38">
        <f>G$30*N69^G$31</f>
        <v>2.1350905400483566</v>
      </c>
      <c r="Q69" s="46">
        <f>G$36*N69^G$37</f>
        <v>0.26359217191926854</v>
      </c>
      <c r="R69" s="45">
        <f>K69/($J69^$G$35)</f>
        <v>0.31272744070834935</v>
      </c>
      <c r="S69" s="45">
        <f>L69/($J69^$G$32)</f>
        <v>4.3880814020121104</v>
      </c>
      <c r="T69" s="45">
        <f>M69/($J69^$G$38)</f>
        <v>0.72871772604591267</v>
      </c>
      <c r="U69" s="6">
        <f>$G$28*G69*1000/365/86400</f>
        <v>8.0859969558599698E-2</v>
      </c>
      <c r="V69" s="6">
        <f>R69*$U69^G$35</f>
        <v>0.11435612220592936</v>
      </c>
      <c r="W69" s="6">
        <f>S69*$U69^G$32</f>
        <v>2.653514041717457</v>
      </c>
      <c r="X69" s="6">
        <f>T69*$U69^G$38</f>
        <v>0.26647272508155206</v>
      </c>
      <c r="Y69" s="45">
        <f>O69/($N69^$G$35)</f>
        <v>0.31614494742604182</v>
      </c>
      <c r="Z69" s="45">
        <f>P69/($N69^$G$32)</f>
        <v>3.7961026378144429</v>
      </c>
      <c r="AA69" s="45">
        <f>Q69/($N69^$G$38)</f>
        <v>0.83325093255443172</v>
      </c>
      <c r="AB69" s="6">
        <f t="shared" ref="AB69:AB71" si="7">2*U68+(U69-2*U68)/2</f>
        <v>5.6284880771182141E-2</v>
      </c>
      <c r="AC69" s="6">
        <f>Y69*$AB69^G$35</f>
        <v>0.1000098890713088</v>
      </c>
      <c r="AD69" s="6">
        <f>Z69*$AB69^G$32</f>
        <v>2.1350905400483566</v>
      </c>
      <c r="AE69" s="6">
        <f>AA69*$AB69^G$38</f>
        <v>0.26359217191926854</v>
      </c>
      <c r="AF69" s="47">
        <f t="shared" ref="AF69:AF73" si="8">(AD69/1000)*F69</f>
        <v>5.3377263501208916E-3</v>
      </c>
      <c r="AG69" s="39">
        <f t="shared" si="2"/>
        <v>3.9492097189968489</v>
      </c>
      <c r="AH69" s="6">
        <f t="shared" ref="AH69:AH71" si="9">((F69*1000)/AE69)/86400</f>
        <v>0.10977255118959786</v>
      </c>
      <c r="AI69" s="6">
        <f t="shared" ref="AI69:AI71" si="10">((F69/2*1000)/X69)/86400</f>
        <v>5.4292958456310644E-2</v>
      </c>
      <c r="AJ69" s="48">
        <f t="shared" ref="AJ69:AJ71" si="11">AC69/AH69*365</f>
        <v>332.53859107254516</v>
      </c>
      <c r="AK69" s="39">
        <f t="shared" ref="AK69:AK71" si="12">V69/AI69*365</f>
        <v>768.79186163252166</v>
      </c>
      <c r="AL69" s="49">
        <f t="shared" si="3"/>
        <v>35</v>
      </c>
      <c r="AM69" s="39">
        <f t="shared" ref="AM69:AM71" si="13">AB69/(AD69*(1000))*86400*365</f>
        <v>831.3464776813629</v>
      </c>
      <c r="AN69" s="6">
        <f t="shared" si="4"/>
        <v>4.1226462921446938E-2</v>
      </c>
      <c r="AO69" s="50">
        <f t="shared" si="5"/>
        <v>9.9901378408450259E-2</v>
      </c>
      <c r="AP69" s="45">
        <f t="shared" ref="AP69:AP74" si="14">1-AO69</f>
        <v>0.90009862159154974</v>
      </c>
      <c r="AQ69" s="45">
        <f t="shared" si="6"/>
        <v>4.4505217879646564E-2</v>
      </c>
      <c r="AR69" s="45">
        <f t="shared" ref="AR69:AR74" si="15">1-AQ69</f>
        <v>0.95549478212035344</v>
      </c>
      <c r="AS69"/>
      <c r="AT69" s="45">
        <f>(1-AT$68)*I69/SUM(I$69:I$74)</f>
        <v>0.21629219174788311</v>
      </c>
      <c r="AU69" s="45">
        <f t="shared" ref="AU69:AU74" si="16">AT69</f>
        <v>0.21629219174788311</v>
      </c>
      <c r="AV69" s="27">
        <f>$G$47*AU69</f>
        <v>68359.147201918458</v>
      </c>
      <c r="AW69" s="27">
        <f>AY68*$P$87</f>
        <v>70190.788053776094</v>
      </c>
      <c r="AX69" s="27">
        <f>$AV69+AY68*($O$87-$P$87)</f>
        <v>114014.01284764471</v>
      </c>
      <c r="AY69" s="27">
        <f>AX69*AR69+AW69*AP69</f>
        <v>172118.42594015592</v>
      </c>
      <c r="AZ69" s="51">
        <f t="shared" ref="AZ69:AZ74" si="17">AX69+AW69-AY69</f>
        <v>12086.374961264897</v>
      </c>
      <c r="BA69" s="52">
        <f>AZ69/G$47</f>
        <v>3.824197108452744E-2</v>
      </c>
      <c r="BB69" s="52">
        <f>AZ69/H69</f>
        <v>16.335866337473806</v>
      </c>
      <c r="BC69" s="52">
        <f>BB69+BC68*$Q87</f>
        <v>24.803585485195526</v>
      </c>
      <c r="BD69" s="52">
        <f>AF69+BD68*$Q87</f>
        <v>7.9893007200726677E-3</v>
      </c>
      <c r="BE69" s="52">
        <f>AV69/H69+BE68*$Q87</f>
        <v>257.43773835451145</v>
      </c>
      <c r="BF69" s="103">
        <f>$L$48*G69^$L$49</f>
        <v>36.142266462335968</v>
      </c>
      <c r="BG69" s="27">
        <f>$L$50*G69^$L$51</f>
        <v>439.48621268910142</v>
      </c>
      <c r="BH69" s="44">
        <f>BF69*1000*1000/1000*AG69</f>
        <v>142733.38997963106</v>
      </c>
      <c r="BI69" s="44">
        <f>BG69*1000*1000/1000*AG69</f>
        <v>1735623.2225169155</v>
      </c>
      <c r="BK69" s="54">
        <f>IF(H69=0,0,BH69/H69)</f>
        <v>192.91752804910126</v>
      </c>
      <c r="BL69" s="54">
        <f>BK69+BL68*$Q87</f>
        <v>236.40334771631038</v>
      </c>
      <c r="BM69" s="54">
        <f>IF(H69=0,0,BI69/H69)</f>
        <v>2345.8571379854511</v>
      </c>
      <c r="BN69" s="54">
        <f>BM69+BN68*$Q87</f>
        <v>3160.1556269976413</v>
      </c>
      <c r="BO69" s="56">
        <f>AF69+BO68*$Q87</f>
        <v>7.9893007200726677E-3</v>
      </c>
      <c r="BP69" s="106">
        <v>2</v>
      </c>
      <c r="BQ69" s="3">
        <f>($G$46/1000^2)/($G$28/1000)*1000</f>
        <v>0.1</v>
      </c>
      <c r="BR69" s="27">
        <f>AW69+AX69</f>
        <v>184204.80090142082</v>
      </c>
      <c r="BS69" s="1">
        <f>BS68*O87+G$28*G$23*AU$69*1000</f>
        <v>1904697902.5501719</v>
      </c>
      <c r="BT69" s="1">
        <f>BR69/BS69*1000</f>
        <v>9.6710770067416851E-2</v>
      </c>
    </row>
    <row r="70" spans="1:73" x14ac:dyDescent="0.2">
      <c r="A70" s="45"/>
      <c r="B70" s="45"/>
      <c r="C70"/>
      <c r="E70" s="1">
        <v>3</v>
      </c>
      <c r="F70" s="39">
        <f>NetworkGeomorphology!D28</f>
        <v>6.2500000000000009</v>
      </c>
      <c r="G70" s="39">
        <f>NetworkGeomorphology!F28</f>
        <v>26.009999999999998</v>
      </c>
      <c r="H70" s="39">
        <f>NetworkGeomorphology!E28</f>
        <v>160.84073922905256</v>
      </c>
      <c r="I70" s="27">
        <f t="shared" si="0"/>
        <v>1005.2546201815786</v>
      </c>
      <c r="J70" s="43">
        <f>$G$27*G70*1000/365/86400</f>
        <v>0.41238584474885842</v>
      </c>
      <c r="K70" s="38">
        <f>G$33*$J70^G$34</f>
        <v>0.20895866513306416</v>
      </c>
      <c r="L70" s="38">
        <f>G$30*$J70^G$31</f>
        <v>7.0528312988851507</v>
      </c>
      <c r="M70" s="38">
        <f>G$36*$J70^G$37</f>
        <v>0.27982071923495233</v>
      </c>
      <c r="N70" s="38">
        <f t="shared" si="1"/>
        <v>0.28705289193302891</v>
      </c>
      <c r="O70" s="38">
        <f>G$33*N70^G$34</f>
        <v>0.1827443298821736</v>
      </c>
      <c r="P70" s="38">
        <f>G$30*N70^G$31</f>
        <v>5.6749024689766667</v>
      </c>
      <c r="Q70" s="46">
        <f>G$36*N70^G$37</f>
        <v>0.27679587510721648</v>
      </c>
      <c r="R70" s="45">
        <f>K70/($J70^$G$35)</f>
        <v>0.29780973174957165</v>
      </c>
      <c r="S70" s="45">
        <f>L70/($J70^$G$32)</f>
        <v>8.4198188113789776</v>
      </c>
      <c r="T70" s="45">
        <f>M70/($J70^$G$38)</f>
        <v>0.39880295598302645</v>
      </c>
      <c r="U70" s="6">
        <f>$G$28*G70*1000/365/86400</f>
        <v>0.41238584474885842</v>
      </c>
      <c r="V70" s="6">
        <f>R70*$U70^G$35</f>
        <v>0.20895866513306416</v>
      </c>
      <c r="W70" s="6">
        <f>S70*$U70^G$32</f>
        <v>7.0528312988851507</v>
      </c>
      <c r="X70" s="6">
        <f>T70*$U70^G$38</f>
        <v>0.27982071923495233</v>
      </c>
      <c r="Y70" s="45">
        <f>O70/($N70^$G$35)</f>
        <v>0.30106421673030459</v>
      </c>
      <c r="Z70" s="45">
        <f>P70/($N70^$G$32)</f>
        <v>7.2839342463290047</v>
      </c>
      <c r="AA70" s="45">
        <f>Q70/($N70^$G$38)</f>
        <v>0.45601050050123815</v>
      </c>
      <c r="AB70" s="6">
        <f t="shared" si="7"/>
        <v>0.28705289193302891</v>
      </c>
      <c r="AC70" s="6">
        <f>Y70*$AB70^G$35</f>
        <v>0.1827443298821736</v>
      </c>
      <c r="AD70" s="6">
        <f>Z70*$AB70^G$32</f>
        <v>5.6749024689766667</v>
      </c>
      <c r="AE70" s="6">
        <f>AA70*$AB70^G$38</f>
        <v>0.27679587510721648</v>
      </c>
      <c r="AF70" s="47">
        <f t="shared" si="8"/>
        <v>3.5468140431104168E-2</v>
      </c>
      <c r="AG70" s="39">
        <f t="shared" si="2"/>
        <v>5.7047219260186415</v>
      </c>
      <c r="AH70" s="6">
        <f t="shared" si="9"/>
        <v>0.26134046591172277</v>
      </c>
      <c r="AI70" s="6">
        <f t="shared" si="10"/>
        <v>0.12925769607186269</v>
      </c>
      <c r="AJ70" s="48">
        <f t="shared" si="11"/>
        <v>255.22905599136828</v>
      </c>
      <c r="AK70" s="39">
        <f t="shared" si="12"/>
        <v>590.06090230143866</v>
      </c>
      <c r="AL70" s="49">
        <f t="shared" si="3"/>
        <v>35</v>
      </c>
      <c r="AM70" s="39">
        <f t="shared" si="13"/>
        <v>1595.1815999460521</v>
      </c>
      <c r="AN70" s="6">
        <f t="shared" si="4"/>
        <v>2.1702120982432072E-2</v>
      </c>
      <c r="AO70" s="50">
        <f t="shared" si="5"/>
        <v>0.12814462412786243</v>
      </c>
      <c r="AP70" s="45">
        <f t="shared" si="14"/>
        <v>0.87185537587213757</v>
      </c>
      <c r="AQ70" s="45">
        <f t="shared" si="6"/>
        <v>5.7590995300164316E-2</v>
      </c>
      <c r="AR70" s="45">
        <f t="shared" si="15"/>
        <v>0.94240900469983568</v>
      </c>
      <c r="AS70"/>
      <c r="AT70" s="45">
        <f>(1-AT$68)*I70/SUM(I$69:I$74)</f>
        <v>0.11755010421080606</v>
      </c>
      <c r="AU70" s="45">
        <f t="shared" si="16"/>
        <v>0.11755010421080606</v>
      </c>
      <c r="AV70" s="27">
        <f>$G$47*AU70</f>
        <v>37151.710435825255</v>
      </c>
      <c r="AW70" s="27">
        <f>AY69*$P$93</f>
        <v>74834.098234850419</v>
      </c>
      <c r="AX70" s="27">
        <f>$AV70+AY68*$O$88+AY69*($O$93-$P$93)</f>
        <v>108813.22535426207</v>
      </c>
      <c r="AY70" s="27">
        <f>AX70*AR70+AW70*AP70</f>
        <v>167791.07424888702</v>
      </c>
      <c r="AZ70" s="51">
        <f t="shared" si="17"/>
        <v>15856.249340225477</v>
      </c>
      <c r="BA70" s="52">
        <f>AZ70/G$47</f>
        <v>5.0170065939647138E-2</v>
      </c>
      <c r="BB70" s="52">
        <f>AZ70/H70</f>
        <v>98.583539321121023</v>
      </c>
      <c r="BC70" s="52">
        <f>BB70+$Q88*BC68+BC69*$Q93</f>
        <v>188.22486054461126</v>
      </c>
      <c r="BD70" s="52">
        <f>AF70+$Q88*BD68+BD69*$Q93</f>
        <v>6.4272928088458164E-2</v>
      </c>
      <c r="BE70" s="52">
        <f>AV70/H70+$Q88*BE68+BE69*$Q93</f>
        <v>1231.4373889944864</v>
      </c>
      <c r="BF70" s="103">
        <f>$L$48*G70^$L$49</f>
        <v>79.650208843566773</v>
      </c>
      <c r="BG70" s="27">
        <f>$L$50*G70^$L$51</f>
        <v>628.94213983656812</v>
      </c>
      <c r="BH70" s="44">
        <f>BF70*1000*1000/1000*AG70</f>
        <v>454382.29280185926</v>
      </c>
      <c r="BI70" s="44">
        <f>BG70*1000*1000/1000*AG70</f>
        <v>3587940.0153227528</v>
      </c>
      <c r="BK70" s="54">
        <f>IF(H70=0,0,BH70/H70)</f>
        <v>2825.0447926304014</v>
      </c>
      <c r="BL70" s="54">
        <f>BK70+$Q88*BL68+BL69*$Q93</f>
        <v>3645.6205943880905</v>
      </c>
      <c r="BM70" s="54">
        <f>IF(H70=0,0,BI70/H70)</f>
        <v>22307.408138762556</v>
      </c>
      <c r="BN70" s="54">
        <f>BM70+$Q88*BN68+BN69*$Q93</f>
        <v>33488.139598700494</v>
      </c>
      <c r="BO70" s="56">
        <f>AF70+$Q88*BO68+BO69*$Q93</f>
        <v>6.4272928088458164E-2</v>
      </c>
      <c r="BP70" s="106">
        <v>3</v>
      </c>
      <c r="BQ70" s="3">
        <f>($G$46/1000^2)/($G$28/1000)*1000</f>
        <v>0.1</v>
      </c>
      <c r="BR70" s="27">
        <f>AW70+AX70</f>
        <v>183647.32358911249</v>
      </c>
      <c r="BS70" s="1">
        <f>BS69*O93+BS68*O88+G$28*G$23*AU$70*1000</f>
        <v>1980652999.601676</v>
      </c>
      <c r="BT70" s="1">
        <f t="shared" ref="BT70:BT71" si="18">BR70/BS70*1000</f>
        <v>9.272059448376134E-2</v>
      </c>
    </row>
    <row r="71" spans="1:73" x14ac:dyDescent="0.2">
      <c r="A71" s="45"/>
      <c r="B71" s="45"/>
      <c r="C71"/>
      <c r="E71" s="1">
        <v>4</v>
      </c>
      <c r="F71" s="39">
        <f>NetworkGeomorphology!D29</f>
        <v>15.625000000000002</v>
      </c>
      <c r="G71" s="39">
        <f>NetworkGeomorphology!F29</f>
        <v>132.65099999999998</v>
      </c>
      <c r="H71" s="39">
        <f>NetworkGeomorphology!E29</f>
        <v>34.9653780932723</v>
      </c>
      <c r="I71" s="27">
        <f t="shared" si="0"/>
        <v>546.33403270737972</v>
      </c>
      <c r="J71" s="43">
        <f>$G$27*G71*1000/365/86400</f>
        <v>2.1031678082191774</v>
      </c>
      <c r="K71" s="38">
        <f>G$33*$J71^G$34</f>
        <v>0.38182235364332839</v>
      </c>
      <c r="L71" s="38">
        <f>G$30*$J71^G$31</f>
        <v>18.745870023110477</v>
      </c>
      <c r="M71" s="38">
        <f>G$36*$J71^G$37</f>
        <v>0.29383733321751021</v>
      </c>
      <c r="N71" s="38">
        <f t="shared" si="1"/>
        <v>1.4639697488584471</v>
      </c>
      <c r="O71" s="38">
        <f>G$33*N71^G$34</f>
        <v>0.33392187926809025</v>
      </c>
      <c r="P71" s="38">
        <f>G$30*N71^G$31</f>
        <v>15.083443736146236</v>
      </c>
      <c r="Q71" s="46">
        <f>G$36*N71^G$37</f>
        <v>0.29066097038661409</v>
      </c>
      <c r="R71" s="45">
        <f>K71/($J71^$G$35)</f>
        <v>0.28360362660808203</v>
      </c>
      <c r="S71" s="45">
        <f>L71/($J71^$G$32)</f>
        <v>16.155887350663974</v>
      </c>
      <c r="T71" s="45">
        <f>M71/($J71^$G$38)</f>
        <v>0.21825158359161309</v>
      </c>
      <c r="U71" s="6">
        <f>$G$28*G71*1000/365/86400</f>
        <v>2.1031678082191774</v>
      </c>
      <c r="V71" s="6">
        <f>R71*$U71^G$35</f>
        <v>0.38182235364332845</v>
      </c>
      <c r="W71" s="6">
        <f>S71*$U71^G$32</f>
        <v>18.745870023110477</v>
      </c>
      <c r="X71" s="6">
        <f>T71*$U71^G$38</f>
        <v>0.29383733321751021</v>
      </c>
      <c r="Y71" s="45">
        <f>O71/($N71^$G$35)</f>
        <v>0.2867028663067146</v>
      </c>
      <c r="Z71" s="45">
        <f>P71/($N71^$G$32)</f>
        <v>13.976360274439424</v>
      </c>
      <c r="AA71" s="45">
        <f>Q71/($N71^$G$38)</f>
        <v>0.24955936854448796</v>
      </c>
      <c r="AB71" s="6">
        <f t="shared" si="7"/>
        <v>1.4639697488584471</v>
      </c>
      <c r="AC71" s="6">
        <f>Y71*$AB71^G$35</f>
        <v>0.33392187926809025</v>
      </c>
      <c r="AD71" s="6">
        <f>Z71*$AB71^G$32</f>
        <v>15.083443736146236</v>
      </c>
      <c r="AE71" s="6">
        <f>AA71*$AB71^G$38</f>
        <v>0.29066097038661409</v>
      </c>
      <c r="AF71" s="47">
        <f t="shared" si="8"/>
        <v>0.23567880837728497</v>
      </c>
      <c r="AG71" s="39">
        <f t="shared" si="2"/>
        <v>8.24059864348364</v>
      </c>
      <c r="AH71" s="6">
        <f t="shared" si="9"/>
        <v>0.62218503972811323</v>
      </c>
      <c r="AI71" s="6">
        <f t="shared" si="10"/>
        <v>0.3077296295660612</v>
      </c>
      <c r="AJ71" s="48">
        <f t="shared" si="11"/>
        <v>195.89266560654298</v>
      </c>
      <c r="AK71" s="39">
        <f t="shared" si="12"/>
        <v>452.88183421381257</v>
      </c>
      <c r="AL71" s="49">
        <f t="shared" si="3"/>
        <v>35</v>
      </c>
      <c r="AM71" s="39">
        <f t="shared" si="13"/>
        <v>3060.8229001022337</v>
      </c>
      <c r="AN71" s="6">
        <f t="shared" si="4"/>
        <v>1.1369704198953889E-2</v>
      </c>
      <c r="AO71" s="50">
        <f t="shared" si="5"/>
        <v>0.16361753143511659</v>
      </c>
      <c r="AP71" s="45">
        <f t="shared" si="14"/>
        <v>0.83638246856488341</v>
      </c>
      <c r="AQ71" s="45">
        <f t="shared" si="6"/>
        <v>7.4371999631991481E-2</v>
      </c>
      <c r="AR71" s="45">
        <f t="shared" si="15"/>
        <v>0.92562800036800852</v>
      </c>
      <c r="AS71"/>
      <c r="AT71" s="45">
        <f>(1-AT$68)*I71/SUM(I$69:I$74)</f>
        <v>6.3885926201525042E-2</v>
      </c>
      <c r="AU71" s="45">
        <f t="shared" si="16"/>
        <v>6.3885926201525042E-2</v>
      </c>
      <c r="AV71" s="27">
        <f>$G$47*AU71</f>
        <v>20191.146975991989</v>
      </c>
      <c r="AW71" s="27">
        <f>AY70*$P$98</f>
        <v>72952.640977776973</v>
      </c>
      <c r="AX71" s="27">
        <f>$AV71+AY68*$O$89+AY69*$O$94+AY70*($O$98-$P$98)</f>
        <v>104422.85096376089</v>
      </c>
      <c r="AY71" s="27">
        <f>AX71*AR71+AW71*AP71</f>
        <v>157673.02467963335</v>
      </c>
      <c r="AZ71" s="51">
        <f t="shared" si="17"/>
        <v>19702.46726190453</v>
      </c>
      <c r="BA71" s="52">
        <f>AZ71/G$47</f>
        <v>6.2339716063611869E-2</v>
      </c>
      <c r="BB71" s="52">
        <f>AZ71/H71</f>
        <v>563.48503394835268</v>
      </c>
      <c r="BC71" s="52">
        <f>BB71+BC68*$Q89+BC69*$Q94+BC70*$Q98</f>
        <v>1281.0104714786589</v>
      </c>
      <c r="BD71" s="52">
        <f>AF71+BD68*$Q89+BD69*$Q94+BD70*$Q98</f>
        <v>0.4787337505665632</v>
      </c>
      <c r="BE71" s="52">
        <f>AV71/H71+BE68*$Q89+BE69*$Q94+BE70*$Q98</f>
        <v>5790.4147244236938</v>
      </c>
      <c r="BF71" s="103">
        <f>$L$48*G71^$L$49</f>
        <v>175.53287023200596</v>
      </c>
      <c r="BG71" s="27">
        <f>$L$50*G71^$L$51</f>
        <v>900.06968100733479</v>
      </c>
      <c r="BH71" s="44">
        <f>BF71*1000*1000/1000*AG71</f>
        <v>1446495.9323206581</v>
      </c>
      <c r="BI71" s="44">
        <f>BG71*1000*1000/1000*AG71</f>
        <v>7417112.992349796</v>
      </c>
      <c r="BK71" s="54">
        <f>IF(H71=0,0,BH71/H71)</f>
        <v>41369.377687323758</v>
      </c>
      <c r="BL71" s="54">
        <f>BK71+BL68*$Q89+BL69*$Q94+BL70*$Q98</f>
        <v>54275.107949800396</v>
      </c>
      <c r="BM71" s="54">
        <f>IF(H71=0,0,BI71/H71)</f>
        <v>212127.34987633169</v>
      </c>
      <c r="BN71" s="54">
        <f>BM71+BN68*$Q89+BN69*$Q94+BN70*$Q98</f>
        <v>334540.41191393929</v>
      </c>
      <c r="BO71" s="56">
        <f>AF71+BO68*$Q89+BO69*$Q94+BO70*$Q98</f>
        <v>0.4787337505665632</v>
      </c>
      <c r="BP71" s="106">
        <v>4</v>
      </c>
      <c r="BQ71" s="3">
        <f>($G$46/1000^2)/($G$28/1000)*1000</f>
        <v>0.1</v>
      </c>
      <c r="BR71" s="27">
        <f>AW71+AX71</f>
        <v>177375.49194153788</v>
      </c>
      <c r="BS71" s="1">
        <f>BS69*O94+BS68*O89+BS70*O98+G$28*G$23*AU$71*1000</f>
        <v>2024640401.5632563</v>
      </c>
      <c r="BT71" s="1">
        <f t="shared" si="18"/>
        <v>8.7608392979110522E-2</v>
      </c>
    </row>
    <row r="72" spans="1:73" x14ac:dyDescent="0.2">
      <c r="A72" s="45"/>
      <c r="B72" s="45"/>
      <c r="C72"/>
      <c r="E72" s="1">
        <v>5</v>
      </c>
      <c r="F72" s="39">
        <f>NetworkGeomorphology!D30</f>
        <v>39.062500000000007</v>
      </c>
      <c r="G72" s="39">
        <f>NetworkGeomorphology!F30</f>
        <v>676.52009999999984</v>
      </c>
      <c r="H72" s="39">
        <f>NetworkGeomorphology!E30</f>
        <v>7.6011691507113701</v>
      </c>
      <c r="I72" s="27">
        <f t="shared" si="0"/>
        <v>296.92066994966297</v>
      </c>
      <c r="J72" s="43">
        <f>$G$27*G72*1000/365/86400</f>
        <v>10.726155821917807</v>
      </c>
      <c r="K72" s="38">
        <f>G$33*$J72^G$34</f>
        <v>0.69768970647325623</v>
      </c>
      <c r="L72" s="38">
        <f>G$30*$J72^G$31</f>
        <v>49.825045861922078</v>
      </c>
      <c r="M72" s="38">
        <f>G$36*$J72^G$37</f>
        <v>0.30855605913828765</v>
      </c>
      <c r="N72" s="38">
        <f>IF(J72=0,0,2*J71+(J72-2*J71)/2)</f>
        <v>7.4662457191780813</v>
      </c>
      <c r="O72" s="38">
        <f>G$33*N72^G$34</f>
        <v>0.61016296114810442</v>
      </c>
      <c r="P72" s="38">
        <f>G$30*N72^G$31</f>
        <v>40.090605289735521</v>
      </c>
      <c r="Q72" s="46">
        <f>G$36*N72^G$37</f>
        <v>0.30522058781896028</v>
      </c>
      <c r="R72" s="45">
        <f>IF(J72=0,0,K72/($J72^$G$35))</f>
        <v>0.27007518039367129</v>
      </c>
      <c r="S72" s="45">
        <f>IF(J72=0,0,L72/($J72^$G$32))</f>
        <v>30.999799631626068</v>
      </c>
      <c r="T72" s="45">
        <f>IF(J72=0,0,M72/($J72^$G$38))</f>
        <v>0.11944182716206903</v>
      </c>
      <c r="U72" s="6">
        <f>$G$28*G72*1000/365/86400</f>
        <v>10.726155821917807</v>
      </c>
      <c r="V72" s="6">
        <f>R72*$U72^G$35</f>
        <v>0.69768970647325623</v>
      </c>
      <c r="W72" s="6">
        <f>S72*$U72^G$32</f>
        <v>49.825045861922078</v>
      </c>
      <c r="X72" s="6">
        <f>T72*$U72^G$38</f>
        <v>0.30855605913828765</v>
      </c>
      <c r="Y72" s="45">
        <f>IF(N72=0,0,O72/($N72^$G$35))</f>
        <v>0.27302658031299648</v>
      </c>
      <c r="Z72" s="45">
        <f>IF(N72=0,0,P72/($N72^$G$32))</f>
        <v>26.817738864045385</v>
      </c>
      <c r="AA72" s="45">
        <f>IF(N72=0,0,Q72/($N72^$G$38))</f>
        <v>0.1365755357823267</v>
      </c>
      <c r="AB72" s="6">
        <f>IF(U72=0,0,2*U71+(U72-2*U71)/2)</f>
        <v>7.4662457191780813</v>
      </c>
      <c r="AC72" s="6">
        <f>Y72*$AB72^G$35</f>
        <v>0.61016296114810442</v>
      </c>
      <c r="AD72" s="6">
        <f>Z72*$AB72^G$32</f>
        <v>40.090605289735521</v>
      </c>
      <c r="AE72" s="6">
        <f>AA72*$AB72^G$38</f>
        <v>0.30522058781896028</v>
      </c>
      <c r="AF72" s="47">
        <f t="shared" si="8"/>
        <v>1.566039269130294</v>
      </c>
      <c r="AG72" s="39">
        <f t="shared" si="2"/>
        <v>11.903729381315772</v>
      </c>
      <c r="AH72" s="6">
        <f>IF(AE72=0,0,((F72*1000)/AE72)/86400)</f>
        <v>1.481263999093948</v>
      </c>
      <c r="AI72" s="6">
        <f>IF(X72=0,0,((F72/2*1000)/X72)/86400)</f>
        <v>0.73262581486998513</v>
      </c>
      <c r="AJ72" s="48">
        <f>IF(AH72=0,0,AC72/AH72*365)</f>
        <v>150.35097116738402</v>
      </c>
      <c r="AK72" s="39">
        <f>IF(AI72=0,0,V72/AI72*365)</f>
        <v>347.59455330949669</v>
      </c>
      <c r="AL72" s="49">
        <f t="shared" si="3"/>
        <v>35</v>
      </c>
      <c r="AM72" s="39">
        <f>IF(AD72=0,0,AB72/(AD72*(1000))*86400*365)</f>
        <v>5873.08481122594</v>
      </c>
      <c r="AN72" s="6">
        <f>IF(AM72=0,0,1-EXP(-AL72/AM72))</f>
        <v>5.9416675671916108E-3</v>
      </c>
      <c r="AO72" s="50">
        <f>IF(AJ72=0,0,(1-EXP(-AL72/AJ72)))</f>
        <v>0.20767898920994898</v>
      </c>
      <c r="AP72" s="45">
        <f t="shared" si="14"/>
        <v>0.79232101079005102</v>
      </c>
      <c r="AQ72" s="45">
        <f>IF(AK72=0,0,(1-EXP(-AL72/AK72)))</f>
        <v>9.5788536891845077E-2</v>
      </c>
      <c r="AR72" s="45">
        <f t="shared" si="15"/>
        <v>0.90421146310815492</v>
      </c>
      <c r="AS72"/>
      <c r="AT72" s="45">
        <f>(1-AT$68)*I72/SUM(I$69:I$74)</f>
        <v>3.4720612066046222E-2</v>
      </c>
      <c r="AU72" s="45">
        <f t="shared" si="16"/>
        <v>3.4720612066046222E-2</v>
      </c>
      <c r="AV72" s="27">
        <f>$G$47*AU72</f>
        <v>10973.449443473908</v>
      </c>
      <c r="AW72" s="27">
        <f>IF(F72=0,0,AY71*$P$102)</f>
        <v>68553.488991144943</v>
      </c>
      <c r="AX72" s="27">
        <f>IF(F72=0,0,AV72+AY68*$O$90+AY69*$O$95+AY70*$O$99+AY71*($O$102-$P$102))</f>
        <v>102462.66957683981</v>
      </c>
      <c r="AY72" s="27">
        <f>AX72*AR72+AW72*AP72</f>
        <v>146964.29006269036</v>
      </c>
      <c r="AZ72" s="51">
        <f t="shared" si="17"/>
        <v>24051.868505294406</v>
      </c>
      <c r="BA72" s="52">
        <f>AZ72/G$47</f>
        <v>7.6101466556856207E-2</v>
      </c>
      <c r="BB72" s="52">
        <f>AZ72/H72</f>
        <v>3164.2327684608181</v>
      </c>
      <c r="BC72" s="52">
        <f>BB72+BC68*$Q90+BC69*$Q95+BC70*$Q99+BC71*$Q102</f>
        <v>8324.517870867654</v>
      </c>
      <c r="BD72" s="52">
        <f>AF72+BD68*$Q90+BD69*$Q95+BD70*$Q99+BD71*$Q102</f>
        <v>3.4635335658746662</v>
      </c>
      <c r="BE72" s="52">
        <f>AV72/H72+BE68*$Q90+BE69*$Q95+BE70*$Q99+BE71*$Q102</f>
        <v>27658.95013369084</v>
      </c>
      <c r="BF72" s="103">
        <f>$L$48*G72^$L$49</f>
        <v>386.83876639169529</v>
      </c>
      <c r="BG72" s="27">
        <f>$L$50*G72^$L$51</f>
        <v>1288.0762463764286</v>
      </c>
      <c r="BH72" s="44">
        <f>BF72*1000*1000/1000*AG72</f>
        <v>4604823.9893287718</v>
      </c>
      <c r="BI72" s="44">
        <f>BG72*1000*1000/1000*AG72</f>
        <v>15332911.059366025</v>
      </c>
      <c r="BK72" s="54">
        <f>IF(H72=0,0,BH72/H72)</f>
        <v>605804.69899131509</v>
      </c>
      <c r="BL72" s="54">
        <f>BK72+BL68*$Q90+BL69*$Q95+BL70*$Q99+BL71*$Q102</f>
        <v>803307.82781942026</v>
      </c>
      <c r="BM72" s="54">
        <f>IF(H72=0,0,BI72/H72)</f>
        <v>2017177.9834594347</v>
      </c>
      <c r="BN72" s="54">
        <f>BM72+BN68*$Q90+BN69*$Q95+BN70*$Q99+BN71*$Q102</f>
        <v>3284362.202784393</v>
      </c>
      <c r="BO72" s="56">
        <f>AF72+BO68*$Q90+BO69*$Q95+BO70*$Q99+BO71*$Q102</f>
        <v>3.4635335658746662</v>
      </c>
      <c r="BP72" s="106">
        <v>5</v>
      </c>
      <c r="BQ72" s="3">
        <f>($G$46/1000^2)/($G$28/1000)*1000</f>
        <v>0.1</v>
      </c>
      <c r="BR72" s="27">
        <f>AW72+AX72</f>
        <v>171016.15856798476</v>
      </c>
      <c r="BS72" s="1">
        <f>BS69*O95+BS68*O90+BS70*O99+BS71*O102+G$28*G$23*AU$72*1000</f>
        <v>2102403584.9727502</v>
      </c>
      <c r="BT72" s="1">
        <f>IF(BS72=0,0,BR72/BS72*1000)</f>
        <v>8.1343163505974203E-2</v>
      </c>
    </row>
    <row r="73" spans="1:73" x14ac:dyDescent="0.2">
      <c r="A73" s="45"/>
      <c r="B73" s="45"/>
      <c r="C73"/>
      <c r="E73" s="1">
        <v>6</v>
      </c>
      <c r="F73" s="39">
        <f>NetworkGeomorphology!D31</f>
        <v>97.656250000000014</v>
      </c>
      <c r="G73" s="39">
        <f>NetworkGeomorphology!F31</f>
        <v>3450.2525099999989</v>
      </c>
      <c r="H73" s="39">
        <f>NetworkGeomorphology!E31</f>
        <v>1.6524280762416024</v>
      </c>
      <c r="I73" s="27">
        <f t="shared" si="0"/>
        <v>161.369929320469</v>
      </c>
      <c r="J73" s="43">
        <f>$G$27*G73*1000/365/86400</f>
        <v>54.703394691780808</v>
      </c>
      <c r="K73" s="38">
        <f>G$33*$J73^G$34</f>
        <v>1.2748623067088563</v>
      </c>
      <c r="L73" s="38">
        <f>G$30*$J73^G$31</f>
        <v>132.43104705634323</v>
      </c>
      <c r="M73" s="38">
        <f>G$36*$J73^G$37</f>
        <v>0.32401206677326649</v>
      </c>
      <c r="N73" s="38">
        <f>IF(J73=0,0,2*J72+(J73-2*J72)/2)</f>
        <v>38.077853167808215</v>
      </c>
      <c r="O73" s="38">
        <f>G$33*N73^G$34</f>
        <v>1.114927958518471</v>
      </c>
      <c r="P73" s="38">
        <f>G$30*N73^G$31</f>
        <v>106.5576708219298</v>
      </c>
      <c r="Q73" s="46">
        <f>G$36*N73^G$37</f>
        <v>0.32050951699720176</v>
      </c>
      <c r="R73" s="45">
        <f>IF(J73=0,0,K73/($J73^$G$35))</f>
        <v>0.25719206745360934</v>
      </c>
      <c r="S73" s="45">
        <f>IF(J73=0,0,L73/($J73^$G$32))</f>
        <v>59.482191002122129</v>
      </c>
      <c r="T73" s="45">
        <f>IF(J73=0,0,M73/($J73^$G$38))</f>
        <v>6.536653636616177E-2</v>
      </c>
      <c r="U73" s="6">
        <f>$G$28*G73*1000/365/86400</f>
        <v>54.703394691780808</v>
      </c>
      <c r="V73" s="6">
        <f>R73*$U73^G$35</f>
        <v>1.274862306708856</v>
      </c>
      <c r="W73" s="6">
        <f>S73*$U73^G$32</f>
        <v>132.43104705634323</v>
      </c>
      <c r="X73" s="6">
        <f>T73*$U73^G$38</f>
        <v>0.32401206677326649</v>
      </c>
      <c r="Y73" s="45">
        <f>IF(N73=0,0,O73/($N73^$G$35))</f>
        <v>0.26000267983949099</v>
      </c>
      <c r="Z73" s="45">
        <f>IF(N73=0,0,P73/($N73^$G$32))</f>
        <v>51.457683091886096</v>
      </c>
      <c r="AA73" s="45">
        <f>IF(N73=0,0,Q73/($N73^$G$38))</f>
        <v>7.4743244795894809E-2</v>
      </c>
      <c r="AB73" s="6">
        <f>2*U72+(U73-2*U72)/2</f>
        <v>38.077853167808215</v>
      </c>
      <c r="AC73" s="6">
        <f>Y73*$AB73^G$35</f>
        <v>1.114927958518471</v>
      </c>
      <c r="AD73" s="6">
        <f>Z73*$AB73^G$32</f>
        <v>106.5576708219298</v>
      </c>
      <c r="AE73" s="6">
        <f>AA73*$AB73^G$38</f>
        <v>0.32050951699720176</v>
      </c>
      <c r="AF73" s="47">
        <f t="shared" si="8"/>
        <v>10.406022541204084</v>
      </c>
      <c r="AG73" s="39">
        <f t="shared" si="2"/>
        <v>17.195203809088614</v>
      </c>
      <c r="AH73" s="6">
        <f>IF(AE73=0,0,((F73*1000)/AE73)/86400)</f>
        <v>3.5265120420937905</v>
      </c>
      <c r="AI73" s="6">
        <f>IF(X73=0,0,((F73/2*1000)/X73)/86400)</f>
        <v>1.7441953359212878</v>
      </c>
      <c r="AJ73" s="48">
        <f t="shared" ref="AJ73:AJ74" si="19">IF(AH73=0,0,AC73/AH73*365)</f>
        <v>115.39694179454013</v>
      </c>
      <c r="AK73" s="39">
        <f t="shared" ref="AK73:AK74" si="20">IF(AI73=0,0,V73/AI73*365)</f>
        <v>266.78476450743796</v>
      </c>
      <c r="AL73" s="49">
        <f t="shared" si="3"/>
        <v>35</v>
      </c>
      <c r="AM73" s="39">
        <f>IF(AD73=0,0,AB73/(AD73*(1000))*86400*365)</f>
        <v>11269.232597123058</v>
      </c>
      <c r="AN73" s="6">
        <f>IF(AM73=0,0,1-EXP(-AL73/AM73))</f>
        <v>3.1009835316195833E-3</v>
      </c>
      <c r="AO73" s="50">
        <f>IF(AJ73=0,0,(1-EXP(-AL73/AJ73)))</f>
        <v>0.26162313831644701</v>
      </c>
      <c r="AP73" s="45">
        <f t="shared" si="14"/>
        <v>0.73837686168355299</v>
      </c>
      <c r="AQ73" s="45">
        <f>IF(AK73=0,0,(1-EXP(-AL73/AK73)))</f>
        <v>0.12295054706630815</v>
      </c>
      <c r="AR73" s="45">
        <f t="shared" si="15"/>
        <v>0.87704945293369185</v>
      </c>
      <c r="AS73"/>
      <c r="AT73" s="45">
        <f>(1-AT$68)*I73/SUM(I$69:I$74)</f>
        <v>1.8869897861981646E-2</v>
      </c>
      <c r="AU73" s="45">
        <f t="shared" si="16"/>
        <v>1.8869897861981646E-2</v>
      </c>
      <c r="AV73" s="27">
        <f>$G$47*AU73</f>
        <v>5963.8312192792991</v>
      </c>
      <c r="AW73" s="27">
        <f>AY72*$P$105</f>
        <v>63897.51741856103</v>
      </c>
      <c r="AX73" s="27">
        <f>$AV73+AY68*$O$91+AY69*$O$96+AY70*$O$100+AY71*$O$103+AY72*($O$105-$P$105)</f>
        <v>122479.67632044491</v>
      </c>
      <c r="AY73" s="27">
        <f>AX73*AR73+AW73*AP73</f>
        <v>154601.18149322912</v>
      </c>
      <c r="AZ73" s="51">
        <f t="shared" si="17"/>
        <v>31776.01224577683</v>
      </c>
      <c r="BA73" s="52">
        <f>AZ73/G$47</f>
        <v>0.1005410923770822</v>
      </c>
      <c r="BB73" s="52">
        <f>AZ73/H73</f>
        <v>19229.891274935493</v>
      </c>
      <c r="BC73" s="52">
        <f>BB73+BC68*$Q91+BC69*$Q96+BC70*$Q100+BC71*$Q103+$Q105*BC72</f>
        <v>58837.546577521731</v>
      </c>
      <c r="BD73" s="52">
        <f>AF73+BD68*$Q91+BD69*$Q96+BD70*$Q100+BD71*$Q103+$Q105*BD72</f>
        <v>26.481469774757429</v>
      </c>
      <c r="BE73" s="52">
        <f>AV73/H73+BE68*$Q91+BE69*$Q96+BE70*$Q100+BE71*$Q103+$Q105*BE72</f>
        <v>152397.5530407771</v>
      </c>
      <c r="BF73" s="103">
        <f>$L$48*G73^$L$49</f>
        <v>852.51401054207224</v>
      </c>
      <c r="BG73" s="27">
        <f>$L$50*G73^$L$51</f>
        <v>1843.3466335876601</v>
      </c>
      <c r="BH73" s="44">
        <f>BF73*1000*1000/1000*AG73</f>
        <v>14659152.161374452</v>
      </c>
      <c r="BI73" s="44">
        <f>BG73*1000*1000/1000*AG73</f>
        <v>31696721.055337206</v>
      </c>
      <c r="BK73" s="54">
        <f>IF(H73=0,0,BH73/H73)</f>
        <v>8871280.0103930999</v>
      </c>
      <c r="BL73" s="54">
        <f>BK73+BL68*$Q91+BL69*$Q96+BL70*$Q100+BL71*$Q103+$Q105*BL72</f>
        <v>12230046.264487995</v>
      </c>
      <c r="BM73" s="54">
        <f>IF(H73=0,0,BI73/H73)</f>
        <v>19181906.620365854</v>
      </c>
      <c r="BN73" s="54">
        <f>BM73+BN68*$Q91+BN69*$Q96+BN70*$Q100+BN71*$Q103+$Q105*BN72</f>
        <v>33585753.26839941</v>
      </c>
      <c r="BO73" s="56">
        <f>AF73+BO68*$Q91+BO69*$Q96+BO70*$Q100+BO71*$Q103+$Q105*BO72</f>
        <v>26.481469774757429</v>
      </c>
      <c r="BP73" s="106">
        <v>6</v>
      </c>
      <c r="BQ73" s="3">
        <f>($G$46/1000^2)/($G$28/1000)*1000</f>
        <v>0.1</v>
      </c>
      <c r="BR73" s="27">
        <f>AW73+AX73</f>
        <v>186377.19373900595</v>
      </c>
      <c r="BS73" s="1">
        <f>BS69*O96+BS68*O91+BS70*O100+BS71*O103+BS72*O105+G$28*G$23*AU$73*1000</f>
        <v>2518259953.9509897</v>
      </c>
      <c r="BT73" s="1">
        <f>IF(BS73=0,0,BR73/BS73*1000)</f>
        <v>7.4010307572334622E-2</v>
      </c>
    </row>
    <row r="74" spans="1:73" ht="16" thickBot="1" x14ac:dyDescent="0.25">
      <c r="A74" s="45"/>
      <c r="B74" s="45"/>
      <c r="C74"/>
      <c r="E74" s="1">
        <v>7</v>
      </c>
      <c r="F74" s="39">
        <f>NetworkGeomorphology!D32</f>
        <v>87.701048543733165</v>
      </c>
      <c r="G74" s="39">
        <f>NetworkGeomorphology!F32</f>
        <v>6321</v>
      </c>
      <c r="H74" s="39">
        <f>NetworkGeomorphology!E32</f>
        <v>1</v>
      </c>
      <c r="I74" s="27">
        <f t="shared" si="0"/>
        <v>87.701048543733165</v>
      </c>
      <c r="J74" s="57">
        <f>$G$27*G74*1000/365/86400</f>
        <v>100.21879756468796</v>
      </c>
      <c r="K74" s="32">
        <f>G$33*$J74^G$34</f>
        <v>1.5949578019898245</v>
      </c>
      <c r="L74" s="32">
        <f>G$30*$J74^G$31</f>
        <v>190.43674890517684</v>
      </c>
      <c r="M74" s="32">
        <f>G$36*$J74^G$37</f>
        <v>0.32995083494328736</v>
      </c>
      <c r="N74" s="32">
        <f>IF(J74=0,0,2*J73+(J74-2*J73)/2)</f>
        <v>104.81279347412479</v>
      </c>
      <c r="O74" s="32">
        <f>G$33*N74^G$34</f>
        <v>1.6216281974109019</v>
      </c>
      <c r="P74" s="32">
        <f>G$30*N74^G$31</f>
        <v>195.62746337173132</v>
      </c>
      <c r="Q74" s="58">
        <f>G$36*N74^G$37</f>
        <v>0.33039478591153876</v>
      </c>
      <c r="R74" s="45">
        <f>IF(J74=0,0,K74/($J74^$G$35))</f>
        <v>0.25256288061115789</v>
      </c>
      <c r="S74" s="45">
        <f>IF(J74=0,0,L74/($J74^$G$32))</f>
        <v>75.781102819082818</v>
      </c>
      <c r="T74" s="45">
        <f>IF(J74=0,0,M74/($J74^$G$38))</f>
        <v>5.2247986266074894E-2</v>
      </c>
      <c r="U74" s="6">
        <f>$G$28*G74*1000/365/86400</f>
        <v>100.21879756468796</v>
      </c>
      <c r="V74" s="6">
        <f>R74*$U74^G$35</f>
        <v>1.5949578019898243</v>
      </c>
      <c r="W74" s="6">
        <f>S74*$U74^G$32</f>
        <v>190.43674890517684</v>
      </c>
      <c r="X74" s="6">
        <f>T74*$U74^G$38</f>
        <v>0.32995083494328736</v>
      </c>
      <c r="Y74" s="45">
        <f>IF(N74=0,0,O74/($N74^$G$35))</f>
        <v>0.25222351225495826</v>
      </c>
      <c r="Z74" s="45">
        <f>IF(N74=0,0,P74/($N74^$G$32))</f>
        <v>77.151960160083277</v>
      </c>
      <c r="AA74" s="45">
        <f>IF(N74=0,0,Q74/($N74^$G$38))</f>
        <v>5.1388680504189335E-2</v>
      </c>
      <c r="AB74" s="6">
        <f>IF(U74=0,0,2*U73+(U74-2*U73)/2)</f>
        <v>104.81279347412479</v>
      </c>
      <c r="AC74" s="6">
        <f>Y74*$AB74^G$35</f>
        <v>1.6216281974109017</v>
      </c>
      <c r="AD74" s="6">
        <f>Z74*$AB74^G$32</f>
        <v>195.62746337173132</v>
      </c>
      <c r="AE74" s="6">
        <f>AA74*$AB74^G$38</f>
        <v>0.33039478591153876</v>
      </c>
      <c r="AF74" s="47">
        <f>(AD74/1000)*F74</f>
        <v>17.15673366165159</v>
      </c>
      <c r="AG74" s="39">
        <f t="shared" si="2"/>
        <v>17.15673366165159</v>
      </c>
      <c r="AH74" s="6">
        <f>IF(AE74=0,0,((F74*1000)/AE74)/86400)</f>
        <v>3.0722592350198581</v>
      </c>
      <c r="AI74" s="6">
        <f>IF(X74=0,0,((F74/2*1000)/X74)/86400)</f>
        <v>1.5381964897794609</v>
      </c>
      <c r="AJ74" s="48">
        <f t="shared" si="19"/>
        <v>192.65766550821462</v>
      </c>
      <c r="AK74" s="39">
        <f t="shared" si="20"/>
        <v>378.46894177333166</v>
      </c>
      <c r="AL74" s="49">
        <f t="shared" si="3"/>
        <v>35</v>
      </c>
      <c r="AM74" s="39">
        <f>IF(AD74=0,0,AB74/(AD74*(1000))*86400*365)</f>
        <v>16896.279275058241</v>
      </c>
      <c r="AN74" s="6">
        <f>IF(AM74=0,0,1-EXP(-AL74/AM74))</f>
        <v>2.0693179761002156E-3</v>
      </c>
      <c r="AO74" s="50">
        <f>IF(AJ74=0,0,(1-EXP(-AL74/AJ74)))</f>
        <v>0.16612301460805112</v>
      </c>
      <c r="AP74" s="45">
        <f t="shared" si="14"/>
        <v>0.83387698539194888</v>
      </c>
      <c r="AQ74" s="45">
        <f>IF(AK74=0,0,(1-EXP(-AL74/AK74)))</f>
        <v>8.833061016991528E-2</v>
      </c>
      <c r="AR74" s="45">
        <f t="shared" si="15"/>
        <v>0.91166938983008472</v>
      </c>
      <c r="AS74"/>
      <c r="AT74" s="45">
        <f>(1-AT$68)*I74/SUM(I$69:I$74)</f>
        <v>1.0255379272816114E-2</v>
      </c>
      <c r="AU74" s="45">
        <f t="shared" si="16"/>
        <v>1.0255379272816114E-2</v>
      </c>
      <c r="AV74" s="27">
        <f>$G$47*AU74</f>
        <v>3241.2126191735329</v>
      </c>
      <c r="AW74" s="27">
        <f>IF($H74=0,0,AY73*$P$107)</f>
        <v>154601.18149322912</v>
      </c>
      <c r="AX74" s="27">
        <f>IF($H74=0,0,$AV74+AY68*$O$92+AY69*$O$97+AY70*$O$101+AY71*$O$104+AY72*$O$106+AY73*($O$107-$P$107))</f>
        <v>49245.156611652237</v>
      </c>
      <c r="AY74" s="27">
        <f>AX74*AR74+AW74*AP74</f>
        <v>173813.66904183943</v>
      </c>
      <c r="AZ74" s="51">
        <f t="shared" si="17"/>
        <v>30032.669063041918</v>
      </c>
      <c r="BA74" s="52">
        <f>AZ74/G$47</f>
        <v>9.5025056361467866E-2</v>
      </c>
      <c r="BB74" s="52">
        <f>AZ74/H74</f>
        <v>30032.669063041918</v>
      </c>
      <c r="BC74" s="52">
        <f>BB74+BC68*$Q92+BC69*$Q97+BC70*$Q101+BC71*$Q104+BC72*$Q106+BC73*$Q107</f>
        <v>142236.33095816063</v>
      </c>
      <c r="BD74" s="52">
        <f>AF74+BD68*$Q92+BD69*$Q97+BD70*$Q101+BD71*$Q104+BD72*$Q106+BD73*$Q107</f>
        <v>66.884117848151092</v>
      </c>
      <c r="BE74" s="52">
        <f>AV74/H74+BE68*$Q92+BE69*$Q97+BE70*$Q101+BE71*$Q104+BE72*$Q106+BE73*$Q107</f>
        <v>316049.99999999988</v>
      </c>
      <c r="BF74" s="103">
        <f>$L$48*G74^$L$49</f>
        <v>1143.4704775740131</v>
      </c>
      <c r="BG74" s="27">
        <f>$L$50*G74^$L$51</f>
        <v>2105.9724732788768</v>
      </c>
      <c r="BH74" s="44">
        <f>BF74*1000*1000/1000*AG74</f>
        <v>19618218.433698893</v>
      </c>
      <c r="BI74" s="44">
        <f>BG74*1000*1000/1000*AG74</f>
        <v>36131608.822815359</v>
      </c>
      <c r="BK74" s="54">
        <f>IF(H74=0,0,BH74/H74)</f>
        <v>19618218.433698893</v>
      </c>
      <c r="BL74" s="54">
        <f>BK74+BL68*$Q92+BL69*$Q97+BL70*$Q101+BL71*$Q104+BL72*$Q106+BL73*$Q107</f>
        <v>40970642.499108844</v>
      </c>
      <c r="BM74" s="54">
        <f>IF(H74=0,0,BI74/H74)</f>
        <v>36131608.822815359</v>
      </c>
      <c r="BN74" s="54">
        <f>BM74+BN68*$Q92+BN69*$Q97+BN70*$Q101+BN71*$Q104+BN72*$Q106+BN73*$Q107</f>
        <v>96741504.217010766</v>
      </c>
      <c r="BO74" s="56">
        <f>AF74+BO68*$Q92+BO69*$Q97+BO70*$Q101+BO71*$Q104+BO72*$Q106+BO73*$Q107</f>
        <v>66.884117848151092</v>
      </c>
      <c r="BP74" s="106">
        <v>7</v>
      </c>
      <c r="BQ74" s="3">
        <f>($G$46/1000^2)/($G$28/1000)*1000</f>
        <v>0.1</v>
      </c>
      <c r="BR74" s="27">
        <f>AW74+AX74</f>
        <v>203846.33810488135</v>
      </c>
      <c r="BS74" s="1">
        <f>BS69*O97+BS68*O92+BS70*O101+BS71*O104+BS72*O106+BS73*O107+G$28*G$74*AU$74*1000</f>
        <v>3160500000</v>
      </c>
      <c r="BT74" s="1">
        <f>IF(BS74=0,0,BR74/BS74*1000)</f>
        <v>6.4498129443088553E-2</v>
      </c>
      <c r="BU74" s="59">
        <f>(BR74-AZ74)/BS74*1000</f>
        <v>5.4995623806941764E-2</v>
      </c>
    </row>
    <row r="75" spans="1:73" x14ac:dyDescent="0.2">
      <c r="A75" s="45"/>
      <c r="B75" s="45"/>
      <c r="C75"/>
      <c r="F75" s="39"/>
      <c r="G75" s="39"/>
      <c r="H75" s="27">
        <f>SUM(H68:H74)</f>
        <v>4349.3171570896702</v>
      </c>
      <c r="I75" s="27">
        <f>SUM(I68:I74)</f>
        <v>7350.6388439236789</v>
      </c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39">
        <f>SUM(AG68:AG74)</f>
        <v>66.884117848151078</v>
      </c>
      <c r="AH75" s="6"/>
      <c r="AI75" s="6"/>
      <c r="AJ75" s="39"/>
      <c r="AK75" s="39"/>
      <c r="AL75" s="39"/>
      <c r="AM75" s="39"/>
      <c r="AN75" s="39"/>
      <c r="AO75" s="45"/>
      <c r="AP75" s="45"/>
      <c r="AQ75" s="45"/>
      <c r="AR75" s="45"/>
      <c r="AS75"/>
      <c r="AT75" s="45">
        <f>SUM(AT68:AT74)</f>
        <v>1</v>
      </c>
      <c r="AU75" s="45">
        <f>SUM(AU68:AU74)</f>
        <v>1</v>
      </c>
      <c r="AV75" s="27">
        <f>SUM(AV67:AV74)</f>
        <v>316050</v>
      </c>
      <c r="AW75" s="27"/>
      <c r="AX75" s="27"/>
      <c r="AY75" s="27"/>
      <c r="AZ75" s="60">
        <f>SUM(AZ68:AZ74)</f>
        <v>142236.33095816063</v>
      </c>
      <c r="BA75" s="60">
        <f>SUM(BA68:BA74)</f>
        <v>0.4500437619305826</v>
      </c>
      <c r="BB75" s="60"/>
      <c r="BC75" s="60"/>
      <c r="BD75" s="60"/>
      <c r="BE75" s="60"/>
      <c r="BF75" s="103"/>
      <c r="BG75" s="27"/>
      <c r="BH75" s="44">
        <f>SUM(BH68:BH74)</f>
        <v>40970642.499108836</v>
      </c>
      <c r="BI75" s="44">
        <f>SUM(BI68:BI74)</f>
        <v>96741504.217010781</v>
      </c>
      <c r="BK75" s="3"/>
      <c r="BL75" s="3"/>
      <c r="BM75" s="3"/>
      <c r="BN75" s="3"/>
      <c r="BO75" s="3"/>
      <c r="BP75" s="105"/>
      <c r="BQ75" s="3"/>
      <c r="BS75" s="1">
        <f>G$28*G$23*1000</f>
        <v>3160500000</v>
      </c>
      <c r="BT75" s="1"/>
    </row>
    <row r="76" spans="1:73" x14ac:dyDescent="0.2">
      <c r="A76" s="45"/>
      <c r="B76" s="45"/>
      <c r="C76"/>
      <c r="F76" s="39"/>
      <c r="G76" s="39"/>
      <c r="H76" s="27"/>
      <c r="I76" s="27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39"/>
      <c r="AH76" s="6"/>
      <c r="AI76" s="6"/>
      <c r="AJ76" s="39"/>
      <c r="AK76" s="39"/>
      <c r="AL76" s="39"/>
      <c r="AM76" s="39"/>
      <c r="AN76" s="39"/>
      <c r="AO76" s="45"/>
      <c r="AP76" s="45"/>
      <c r="AQ76" s="45"/>
      <c r="AR76" s="45"/>
      <c r="AS76"/>
      <c r="AT76" s="45"/>
      <c r="AU76" s="45"/>
      <c r="AV76" s="27"/>
      <c r="AW76" s="27"/>
      <c r="AX76" s="27"/>
      <c r="AY76" s="27"/>
      <c r="AZ76" s="60"/>
      <c r="BA76" s="60"/>
      <c r="BB76" s="60"/>
      <c r="BC76" s="60"/>
      <c r="BD76" s="60"/>
      <c r="BE76" s="60"/>
      <c r="BF76" s="103"/>
      <c r="BG76" s="27"/>
      <c r="BH76" s="44"/>
      <c r="BI76" s="44"/>
      <c r="BK76" s="3"/>
      <c r="BL76" s="3"/>
      <c r="BM76" s="3"/>
      <c r="BN76" s="3"/>
      <c r="BO76" s="3"/>
      <c r="BP76" s="105"/>
      <c r="BQ76" s="3"/>
      <c r="BS76" s="1"/>
      <c r="BT76" s="1"/>
    </row>
    <row r="77" spans="1:73" x14ac:dyDescent="0.2">
      <c r="A77" s="45"/>
      <c r="B77" s="45"/>
      <c r="C77"/>
      <c r="F77" s="39"/>
      <c r="G77" s="39"/>
      <c r="H77" s="27"/>
      <c r="I77" s="27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39"/>
      <c r="AH77" s="6"/>
      <c r="AI77" s="6"/>
      <c r="AJ77" s="39"/>
      <c r="AK77" s="39"/>
      <c r="AL77" s="39"/>
      <c r="AM77" s="39"/>
      <c r="AN77" s="39"/>
      <c r="AO77" s="45"/>
      <c r="AP77" s="45"/>
      <c r="AQ77" s="45"/>
      <c r="AR77" s="45"/>
      <c r="AS77"/>
      <c r="AT77" s="45"/>
      <c r="AU77" s="45"/>
      <c r="AV77" s="27"/>
      <c r="AW77" s="27"/>
      <c r="AX77" s="27"/>
      <c r="AY77" s="27"/>
      <c r="AZ77" s="60"/>
      <c r="BA77" s="60"/>
      <c r="BB77" s="60"/>
      <c r="BC77" s="60"/>
      <c r="BD77" s="60"/>
      <c r="BE77" s="60"/>
      <c r="BF77" s="103"/>
      <c r="BG77" s="27"/>
      <c r="BH77" s="44"/>
      <c r="BI77" s="44"/>
      <c r="BK77" s="3"/>
      <c r="BL77" s="3"/>
      <c r="BM77" s="3"/>
      <c r="BN77" s="3"/>
      <c r="BO77" s="3"/>
      <c r="BP77" s="105"/>
      <c r="BQ77" s="3"/>
      <c r="BS77" s="1"/>
      <c r="BT77" s="1"/>
    </row>
    <row r="78" spans="1:73" s="83" customFormat="1" x14ac:dyDescent="0.2">
      <c r="A78" s="88"/>
      <c r="B78" s="88"/>
      <c r="C78" s="87"/>
      <c r="F78" s="89"/>
      <c r="G78" s="89"/>
      <c r="H78" s="90"/>
      <c r="I78" s="90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  <c r="AC78" s="91"/>
      <c r="AD78" s="91"/>
      <c r="AE78" s="91"/>
      <c r="AF78" s="91"/>
      <c r="AG78" s="89"/>
      <c r="AH78" s="91"/>
      <c r="AI78" s="91"/>
      <c r="AJ78" s="89"/>
      <c r="AK78" s="89"/>
      <c r="AL78" s="89"/>
      <c r="AM78" s="89"/>
      <c r="AN78" s="89"/>
      <c r="AO78" s="88"/>
      <c r="AP78" s="88"/>
      <c r="AQ78" s="88"/>
      <c r="AR78" s="88"/>
      <c r="AS78" s="87"/>
      <c r="AT78" s="88"/>
      <c r="AU78" s="88"/>
      <c r="AV78" s="90"/>
      <c r="AW78" s="90"/>
      <c r="AX78" s="90"/>
      <c r="AY78" s="90"/>
      <c r="AZ78" s="91"/>
      <c r="BA78" s="91"/>
      <c r="BB78" s="91"/>
      <c r="BC78" s="91"/>
      <c r="BD78" s="91"/>
      <c r="BE78" s="91"/>
      <c r="BF78" s="90"/>
      <c r="BG78" s="90"/>
      <c r="BH78" s="90"/>
      <c r="BI78" s="90"/>
      <c r="BJ78" s="87"/>
    </row>
    <row r="79" spans="1:73" ht="15" customHeight="1" x14ac:dyDescent="0.2">
      <c r="F79" s="39"/>
      <c r="G79" s="39"/>
      <c r="H79" s="27"/>
      <c r="I79" s="27"/>
      <c r="J79" s="6"/>
      <c r="K79" s="6"/>
      <c r="L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39"/>
      <c r="AH79" s="6"/>
      <c r="AI79" s="6"/>
      <c r="AJ79" s="39"/>
      <c r="AK79" s="39"/>
      <c r="AL79" s="39"/>
      <c r="AM79" s="39"/>
      <c r="AN79" s="39"/>
      <c r="AO79" s="45"/>
      <c r="AP79" s="45"/>
      <c r="AQ79" s="45"/>
      <c r="AR79" s="45"/>
      <c r="AS79" s="45"/>
      <c r="AT79" s="45"/>
      <c r="AU79" s="45"/>
      <c r="AY79" s="27"/>
      <c r="AZ79" s="3"/>
      <c r="BA79" s="3"/>
      <c r="BB79" s="3"/>
      <c r="BC79" s="3"/>
      <c r="BD79" s="3"/>
      <c r="BE79" s="3"/>
      <c r="BF79" s="27"/>
      <c r="BG79" s="27"/>
      <c r="BK79" s="3"/>
      <c r="BL79" s="3"/>
      <c r="BM79" s="3"/>
      <c r="BN79" s="3"/>
      <c r="BO79" s="3"/>
      <c r="BP79" s="3"/>
      <c r="BQ79" s="3"/>
      <c r="BS79" s="1"/>
      <c r="BT79" s="1"/>
    </row>
    <row r="80" spans="1:73" ht="15" customHeight="1" x14ac:dyDescent="0.2">
      <c r="B80" s="1" t="s">
        <v>284</v>
      </c>
      <c r="F80" s="39"/>
      <c r="G80" s="39"/>
      <c r="H80" s="27"/>
      <c r="I80" s="27"/>
      <c r="J80" s="6"/>
      <c r="K80" s="6"/>
      <c r="L80" s="1" t="s">
        <v>285</v>
      </c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39"/>
      <c r="AH80" s="6"/>
      <c r="AI80" s="6"/>
      <c r="AJ80" s="39"/>
      <c r="AK80" s="39"/>
      <c r="AL80" s="39"/>
      <c r="AM80" s="39"/>
      <c r="AN80" s="39"/>
      <c r="AO80" s="45"/>
      <c r="AP80" s="45"/>
      <c r="AQ80" s="45"/>
      <c r="AR80" s="45"/>
      <c r="AS80" s="45"/>
      <c r="AT80" s="45"/>
      <c r="AU80" s="45"/>
      <c r="AY80" s="27"/>
      <c r="AZ80" s="3"/>
      <c r="BA80" s="3"/>
      <c r="BB80" s="3"/>
      <c r="BC80" s="3"/>
      <c r="BD80" s="3"/>
      <c r="BE80" s="3"/>
      <c r="BF80" s="27"/>
      <c r="BG80" s="27"/>
      <c r="BK80" s="3"/>
      <c r="BL80" s="3"/>
      <c r="BM80" s="3"/>
      <c r="BN80" s="3"/>
      <c r="BO80" s="3"/>
      <c r="BP80" s="3"/>
      <c r="BQ80" s="3"/>
      <c r="BS80" s="1"/>
      <c r="BT80" s="1"/>
    </row>
    <row r="81" spans="1:72" x14ac:dyDescent="0.2">
      <c r="F81" s="39"/>
      <c r="G81" s="39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39"/>
      <c r="AH81" s="6"/>
      <c r="AI81" s="6"/>
      <c r="AJ81" s="39"/>
      <c r="AK81" s="61"/>
      <c r="AL81" s="39"/>
      <c r="AM81" s="39"/>
      <c r="AN81" s="39"/>
      <c r="AO81" s="45"/>
      <c r="AP81" s="45"/>
      <c r="AQ81" s="45"/>
      <c r="AR81" s="45"/>
      <c r="AS81" s="45"/>
      <c r="AT81" s="45"/>
      <c r="AU81" s="45"/>
      <c r="AZ81"/>
      <c r="BA81"/>
      <c r="BB81"/>
      <c r="BC81"/>
      <c r="BD81"/>
      <c r="BE81"/>
      <c r="BK81"/>
      <c r="BL81" s="3"/>
      <c r="BM81" s="3"/>
      <c r="BN81" s="3"/>
      <c r="BO81" s="3"/>
      <c r="BP81" s="3"/>
      <c r="BQ81" s="3"/>
    </row>
    <row r="82" spans="1:72" ht="16" thickBot="1" x14ac:dyDescent="0.25">
      <c r="A82" s="92"/>
      <c r="B82" s="13"/>
      <c r="C82" s="13"/>
      <c r="D82" s="13"/>
      <c r="E82" s="13"/>
      <c r="F82" s="13"/>
      <c r="G82" s="13"/>
      <c r="H82" s="13"/>
      <c r="I82" s="27"/>
      <c r="AG82" s="39"/>
      <c r="AY82" s="1" t="s">
        <v>216</v>
      </c>
      <c r="AZ82">
        <f>AZ75/AV75</f>
        <v>0.4500437619305826</v>
      </c>
      <c r="BA82"/>
      <c r="BB82"/>
      <c r="BC82"/>
      <c r="BD82"/>
      <c r="BE82"/>
      <c r="BH82" s="3" t="s">
        <v>217</v>
      </c>
      <c r="BI82" s="3">
        <f>BH75/BI75</f>
        <v>0.42350636193544594</v>
      </c>
      <c r="BK82"/>
      <c r="BL82" s="3"/>
      <c r="BM82" s="3"/>
      <c r="BN82" s="3"/>
      <c r="BO82" s="3"/>
      <c r="BP82" s="3"/>
      <c r="BQ82" s="3"/>
    </row>
    <row r="83" spans="1:72" ht="16" thickBot="1" x14ac:dyDescent="0.25">
      <c r="A83" s="93" t="s">
        <v>218</v>
      </c>
      <c r="B83" s="80"/>
      <c r="C83" s="80"/>
      <c r="D83" s="80"/>
      <c r="E83" s="80"/>
      <c r="F83" s="80"/>
      <c r="G83" s="80"/>
      <c r="H83" s="94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G83" s="39"/>
      <c r="AY83" s="1" t="s">
        <v>219</v>
      </c>
      <c r="AZ83" s="1">
        <f>1-AZ82</f>
        <v>0.5499562380694174</v>
      </c>
    </row>
    <row r="84" spans="1:72" x14ac:dyDescent="0.2">
      <c r="A84" s="12" t="s">
        <v>220</v>
      </c>
      <c r="B84" s="13" t="s">
        <v>221</v>
      </c>
      <c r="C84" s="13" t="s">
        <v>222</v>
      </c>
      <c r="D84" s="13" t="s">
        <v>223</v>
      </c>
      <c r="E84" s="13" t="s">
        <v>224</v>
      </c>
      <c r="F84" s="15" t="s">
        <v>225</v>
      </c>
      <c r="G84" s="15" t="s">
        <v>226</v>
      </c>
      <c r="H84" s="95" t="s">
        <v>227</v>
      </c>
      <c r="L84" s="9"/>
      <c r="M84" s="96" t="s">
        <v>228</v>
      </c>
      <c r="N84" s="10"/>
      <c r="O84" s="10"/>
      <c r="P84" s="10"/>
      <c r="Q84" s="10"/>
      <c r="R84" s="10"/>
      <c r="S84" s="11"/>
      <c r="BK84" s="3"/>
      <c r="BL84" s="3"/>
      <c r="BM84" s="3"/>
      <c r="BN84" s="3"/>
      <c r="BS84" s="1"/>
      <c r="BT84" s="1"/>
    </row>
    <row r="85" spans="1:72" x14ac:dyDescent="0.2">
      <c r="A85" s="62">
        <f>G68</f>
        <v>1</v>
      </c>
      <c r="B85" s="63">
        <f>BO68</f>
        <v>8.0329338506253129E-4</v>
      </c>
      <c r="C85" s="64">
        <f>BL68</f>
        <v>13.174011515025514</v>
      </c>
      <c r="D85" s="64">
        <f>BN68</f>
        <v>246.69139855270336</v>
      </c>
      <c r="E85" s="69">
        <f t="shared" ref="E85:E91" si="21">IF(D85=0,0,C85/D85)</f>
        <v>5.3402800390752202E-2</v>
      </c>
      <c r="F85" s="64">
        <f>BC68</f>
        <v>2.5652920977871361</v>
      </c>
      <c r="G85" s="63">
        <f>BE68</f>
        <v>50</v>
      </c>
      <c r="H85" s="95">
        <f>F85/G85</f>
        <v>5.1305841955742719E-2</v>
      </c>
      <c r="L85" s="25"/>
      <c r="M85" s="24"/>
      <c r="N85" s="24"/>
      <c r="O85" s="24"/>
      <c r="P85" s="24"/>
      <c r="Q85" s="24"/>
      <c r="R85" s="24"/>
      <c r="S85" s="14"/>
      <c r="BK85" s="3"/>
      <c r="BL85" s="3"/>
      <c r="BM85" s="3"/>
      <c r="BN85" s="3"/>
      <c r="BS85" s="1"/>
      <c r="BT85" s="1"/>
    </row>
    <row r="86" spans="1:72" x14ac:dyDescent="0.2">
      <c r="A86" s="62">
        <f>G69</f>
        <v>5.0999999999999996</v>
      </c>
      <c r="B86" s="63">
        <f>BO69</f>
        <v>7.9893007200726677E-3</v>
      </c>
      <c r="C86" s="64">
        <f>BL69</f>
        <v>236.40334771631038</v>
      </c>
      <c r="D86" s="64">
        <f>BN69</f>
        <v>3160.1556269976413</v>
      </c>
      <c r="E86" s="69">
        <f t="shared" si="21"/>
        <v>7.4807501787786737E-2</v>
      </c>
      <c r="F86" s="64">
        <f>BC69</f>
        <v>24.803585485195526</v>
      </c>
      <c r="G86" s="63">
        <f>BE69</f>
        <v>257.43773835451145</v>
      </c>
      <c r="H86" s="95">
        <f t="shared" ref="H86:H91" si="22">F86/G86</f>
        <v>9.6347900054338936E-2</v>
      </c>
      <c r="L86" s="25"/>
      <c r="M86" s="24" t="s">
        <v>78</v>
      </c>
      <c r="N86" s="24" t="s">
        <v>229</v>
      </c>
      <c r="O86" s="24" t="s">
        <v>50</v>
      </c>
      <c r="P86" s="24" t="s">
        <v>230</v>
      </c>
      <c r="Q86" s="24" t="s">
        <v>231</v>
      </c>
      <c r="R86" s="24"/>
      <c r="S86" s="14"/>
      <c r="BK86" s="3"/>
      <c r="BL86" s="3"/>
      <c r="BM86" s="3"/>
      <c r="BN86" s="3"/>
      <c r="BS86" s="1"/>
      <c r="BT86" s="1"/>
    </row>
    <row r="87" spans="1:72" x14ac:dyDescent="0.2">
      <c r="A87" s="62">
        <f>G70</f>
        <v>26.009999999999998</v>
      </c>
      <c r="B87" s="63">
        <f>BO70</f>
        <v>6.4272928088458164E-2</v>
      </c>
      <c r="C87" s="64">
        <f>BL70</f>
        <v>3645.6205943880905</v>
      </c>
      <c r="D87" s="64">
        <f>BN70</f>
        <v>33488.139598700494</v>
      </c>
      <c r="E87" s="69">
        <f t="shared" si="21"/>
        <v>0.10886303742383942</v>
      </c>
      <c r="F87" s="64">
        <f>BC70</f>
        <v>188.22486054461126</v>
      </c>
      <c r="G87" s="63">
        <f>BE70</f>
        <v>1231.4373889944864</v>
      </c>
      <c r="H87" s="95">
        <f t="shared" si="22"/>
        <v>0.15284972035671562</v>
      </c>
      <c r="L87" s="25"/>
      <c r="M87" s="24"/>
      <c r="N87" s="24">
        <v>12</v>
      </c>
      <c r="O87" s="97">
        <f>NetworkGeomorphology!AB59</f>
        <v>0.71758241954676427</v>
      </c>
      <c r="P87" s="98">
        <f>NetworkGeomorphology!AK59</f>
        <v>0.43478260869565227</v>
      </c>
      <c r="Q87" s="98">
        <f>NetworkGeomorphology!I59</f>
        <v>3.3008791299151148</v>
      </c>
      <c r="R87" s="98"/>
      <c r="S87" s="14"/>
      <c r="BK87" s="3"/>
      <c r="BL87" s="3"/>
      <c r="BM87" s="3"/>
      <c r="BN87" s="3"/>
      <c r="BS87" s="1"/>
      <c r="BT87" s="1"/>
    </row>
    <row r="88" spans="1:72" x14ac:dyDescent="0.2">
      <c r="A88" s="62">
        <f>G71</f>
        <v>132.65099999999998</v>
      </c>
      <c r="B88" s="63">
        <f>BO71</f>
        <v>0.4787337505665632</v>
      </c>
      <c r="C88" s="64">
        <f>BL71</f>
        <v>54275.107949800396</v>
      </c>
      <c r="D88" s="64">
        <f>BN71</f>
        <v>334540.41191393929</v>
      </c>
      <c r="E88" s="69">
        <f t="shared" si="21"/>
        <v>0.16223782244807752</v>
      </c>
      <c r="F88" s="64">
        <f>BC71</f>
        <v>1281.0104714786589</v>
      </c>
      <c r="G88" s="63">
        <f>BE71</f>
        <v>5790.4147244236938</v>
      </c>
      <c r="H88" s="95">
        <f t="shared" si="22"/>
        <v>0.22122948570081133</v>
      </c>
      <c r="L88" s="25"/>
      <c r="M88" s="24"/>
      <c r="N88" s="24">
        <v>13</v>
      </c>
      <c r="O88" s="97">
        <f>NetworkGeomorphology!AC59</f>
        <v>0.14164912993973625</v>
      </c>
      <c r="P88" s="98">
        <v>0</v>
      </c>
      <c r="Q88" s="24">
        <f>NetworkGeomorphology!J59</f>
        <v>2.9972955895248181</v>
      </c>
      <c r="R88" s="98"/>
      <c r="S88" s="14"/>
      <c r="BK88" s="3"/>
      <c r="BL88" s="3"/>
      <c r="BM88" s="3"/>
      <c r="BN88" s="3"/>
      <c r="BS88" s="1"/>
      <c r="BT88" s="1"/>
    </row>
    <row r="89" spans="1:72" x14ac:dyDescent="0.2">
      <c r="A89" s="62">
        <f>G72</f>
        <v>676.52009999999984</v>
      </c>
      <c r="B89" s="63">
        <f>BO72</f>
        <v>3.4635335658746662</v>
      </c>
      <c r="C89" s="64">
        <f>BL72</f>
        <v>803307.82781942026</v>
      </c>
      <c r="D89" s="64">
        <f>BN72</f>
        <v>3284362.202784393</v>
      </c>
      <c r="E89" s="69">
        <f t="shared" si="21"/>
        <v>0.24458563892204024</v>
      </c>
      <c r="F89" s="64">
        <f>BC72</f>
        <v>8324.517870867654</v>
      </c>
      <c r="G89" s="63">
        <f>BE72</f>
        <v>27658.95013369084</v>
      </c>
      <c r="H89" s="95">
        <f t="shared" si="22"/>
        <v>0.30097013193308875</v>
      </c>
      <c r="L89" s="25"/>
      <c r="M89" s="24"/>
      <c r="N89" s="24">
        <v>14</v>
      </c>
      <c r="O89" s="97">
        <f>NetworkGeomorphology!AD59</f>
        <v>7.1405311186320444E-2</v>
      </c>
      <c r="P89" s="98">
        <v>0</v>
      </c>
      <c r="Q89" s="24">
        <f>NetworkGeomorphology!K59</f>
        <v>6.9503073696316839</v>
      </c>
      <c r="R89" s="98"/>
      <c r="S89" s="14"/>
      <c r="BK89" s="3"/>
      <c r="BL89" s="3"/>
      <c r="BM89" s="3"/>
      <c r="BN89" s="3"/>
      <c r="BS89" s="1"/>
      <c r="BT89" s="1"/>
    </row>
    <row r="90" spans="1:72" x14ac:dyDescent="0.2">
      <c r="A90" s="62">
        <f>G73</f>
        <v>3450.2525099999989</v>
      </c>
      <c r="B90" s="63">
        <f>BO73</f>
        <v>26.481469774757429</v>
      </c>
      <c r="C90" s="64">
        <f>BL73</f>
        <v>12230046.264487995</v>
      </c>
      <c r="D90" s="64">
        <f>BN73</f>
        <v>33585753.26839941</v>
      </c>
      <c r="E90" s="69">
        <f t="shared" si="21"/>
        <v>0.36414387275318777</v>
      </c>
      <c r="F90" s="64">
        <f>BC73</f>
        <v>58837.546577521731</v>
      </c>
      <c r="G90" s="63">
        <f>BE73</f>
        <v>152397.5530407771</v>
      </c>
      <c r="H90" s="95">
        <f t="shared" si="22"/>
        <v>0.38607933922520749</v>
      </c>
      <c r="L90" s="25"/>
      <c r="M90" s="24"/>
      <c r="N90" s="24">
        <v>15</v>
      </c>
      <c r="O90" s="97">
        <f>NetworkGeomorphology!AE59</f>
        <v>3.7123531608695082E-2</v>
      </c>
      <c r="P90" s="98">
        <v>0</v>
      </c>
      <c r="Q90" s="24">
        <f>NetworkGeomorphology!L59</f>
        <v>16.621897934254136</v>
      </c>
      <c r="R90" s="98"/>
      <c r="S90" s="14"/>
      <c r="BK90" s="3"/>
      <c r="BL90" s="3"/>
      <c r="BM90" s="3"/>
      <c r="BN90" s="3"/>
      <c r="BS90" s="1"/>
      <c r="BT90" s="1"/>
    </row>
    <row r="91" spans="1:72" x14ac:dyDescent="0.2">
      <c r="A91" s="62">
        <f>G74</f>
        <v>6321</v>
      </c>
      <c r="B91" s="63">
        <f>BO74</f>
        <v>66.884117848151092</v>
      </c>
      <c r="C91" s="64">
        <f>BL74</f>
        <v>40970642.499108844</v>
      </c>
      <c r="D91" s="64">
        <f>BN74</f>
        <v>96741504.217010766</v>
      </c>
      <c r="E91" s="69">
        <f t="shared" si="21"/>
        <v>0.42350636193544605</v>
      </c>
      <c r="F91" s="64">
        <f>BC74</f>
        <v>142236.33095816063</v>
      </c>
      <c r="G91" s="63">
        <f>BE74</f>
        <v>316049.99999999988</v>
      </c>
      <c r="H91" s="95">
        <f t="shared" si="22"/>
        <v>0.45004376193058276</v>
      </c>
      <c r="L91" s="25"/>
      <c r="M91" s="24"/>
      <c r="N91" s="24">
        <v>16</v>
      </c>
      <c r="O91" s="97">
        <f>NetworkGeomorphology!AF59</f>
        <v>2.3113647636379579E-2</v>
      </c>
      <c r="P91" s="98">
        <v>0</v>
      </c>
      <c r="Q91" s="24">
        <f>NetworkGeomorphology!M59</f>
        <v>47.605556534041014</v>
      </c>
      <c r="R91" s="98"/>
      <c r="S91" s="14"/>
      <c r="BK91" s="3"/>
      <c r="BL91" s="3"/>
      <c r="BM91" s="3"/>
      <c r="BN91" s="3"/>
      <c r="BS91" s="1"/>
      <c r="BT91" s="1"/>
    </row>
    <row r="92" spans="1:72" x14ac:dyDescent="0.2">
      <c r="A92" s="12"/>
      <c r="B92" s="13"/>
      <c r="C92" s="13"/>
      <c r="D92" s="13"/>
      <c r="E92" s="13"/>
      <c r="F92" s="13"/>
      <c r="G92" s="13"/>
      <c r="H92" s="37"/>
      <c r="L92" s="25"/>
      <c r="M92" s="38">
        <f>SUM(O87:O92)</f>
        <v>1</v>
      </c>
      <c r="N92" s="24">
        <v>17</v>
      </c>
      <c r="O92" s="97">
        <f>NetworkGeomorphology!AG59</f>
        <v>9.1259600821043726E-3</v>
      </c>
      <c r="P92" s="98">
        <v>0</v>
      </c>
      <c r="Q92" s="24">
        <f>NetworkGeomorphology!N59</f>
        <v>31.059201667915215</v>
      </c>
      <c r="R92" s="98"/>
      <c r="S92" s="14"/>
      <c r="BK92" s="3"/>
      <c r="BL92" s="3"/>
      <c r="BM92" s="3"/>
      <c r="BN92" s="3"/>
      <c r="BS92" s="1"/>
      <c r="BT92" s="1"/>
    </row>
    <row r="93" spans="1:72" x14ac:dyDescent="0.2">
      <c r="A93" s="12"/>
      <c r="B93" s="13"/>
      <c r="C93" s="13"/>
      <c r="D93" s="13"/>
      <c r="E93" s="13"/>
      <c r="F93" s="13"/>
      <c r="G93" s="13"/>
      <c r="H93" s="37"/>
      <c r="L93" s="25"/>
      <c r="M93" s="24"/>
      <c r="N93" s="24">
        <v>23</v>
      </c>
      <c r="O93" s="97">
        <f>NetworkGeomorphology!AC60</f>
        <v>0.71827257973987879</v>
      </c>
      <c r="P93" s="98">
        <f>NetworkGeomorphology!AL60</f>
        <v>0.43478260869565227</v>
      </c>
      <c r="Q93" s="98">
        <f>NetworkGeomorphology!J60</f>
        <v>3.3040538668034416</v>
      </c>
      <c r="R93" s="98"/>
      <c r="S93" s="14"/>
      <c r="BK93" s="3"/>
      <c r="BL93" s="3"/>
      <c r="BM93" s="3"/>
      <c r="BN93" s="3"/>
      <c r="BS93" s="1"/>
      <c r="BT93" s="1"/>
    </row>
    <row r="94" spans="1:72" x14ac:dyDescent="0.2">
      <c r="A94" s="12" t="s">
        <v>220</v>
      </c>
      <c r="B94" s="13" t="s">
        <v>283</v>
      </c>
      <c r="C94" s="13" t="s">
        <v>232</v>
      </c>
      <c r="D94" s="13" t="s">
        <v>233</v>
      </c>
      <c r="E94" s="13" t="s">
        <v>224</v>
      </c>
      <c r="F94" s="15" t="s">
        <v>263</v>
      </c>
      <c r="G94" s="15" t="s">
        <v>234</v>
      </c>
      <c r="H94" s="37"/>
      <c r="L94" s="25"/>
      <c r="M94" s="24"/>
      <c r="N94" s="24">
        <v>24</v>
      </c>
      <c r="O94" s="97">
        <f>NetworkGeomorphology!AD60</f>
        <v>0.14290726395019934</v>
      </c>
      <c r="P94" s="98">
        <v>0</v>
      </c>
      <c r="Q94" s="24">
        <f>NetworkGeomorphology!K60</f>
        <v>3.0239177051862169</v>
      </c>
      <c r="R94" s="98"/>
      <c r="S94" s="14"/>
      <c r="BK94" s="3"/>
      <c r="BL94" s="3"/>
      <c r="BM94" s="3"/>
      <c r="BN94" s="3"/>
      <c r="BS94" s="1"/>
      <c r="BT94" s="1"/>
    </row>
    <row r="95" spans="1:72" x14ac:dyDescent="0.2">
      <c r="A95" s="62">
        <f>A85</f>
        <v>1</v>
      </c>
      <c r="B95" s="13">
        <f>B85/A95</f>
        <v>8.0329338506253129E-4</v>
      </c>
      <c r="C95" s="13">
        <f>IF($A85=0,0,C85/A85)</f>
        <v>13.174011515025514</v>
      </c>
      <c r="D95" s="13">
        <f t="shared" ref="D95:D101" si="23">IF(A85=0,0,D85/A85)</f>
        <v>246.69139855270336</v>
      </c>
      <c r="E95" s="69">
        <f t="shared" ref="E95:E101" si="24">IF(D95=0,0,C95/D95)</f>
        <v>5.3402800390752202E-2</v>
      </c>
      <c r="F95" s="13">
        <f>IF($A85=0,0,F85/$A85)</f>
        <v>2.5652920977871361</v>
      </c>
      <c r="G95" s="13">
        <f>IF($A85=0,0,G85/$A85)</f>
        <v>50</v>
      </c>
      <c r="H95" s="95">
        <f t="shared" ref="H95:H101" si="25">F95/G95</f>
        <v>5.1305841955742719E-2</v>
      </c>
      <c r="L95" s="25"/>
      <c r="M95" s="24"/>
      <c r="N95" s="24">
        <v>25</v>
      </c>
      <c r="O95" s="97">
        <f>NetworkGeomorphology!AE60</f>
        <v>7.4297307052191799E-2</v>
      </c>
      <c r="P95" s="98">
        <v>0</v>
      </c>
      <c r="Q95" s="24">
        <f>NetworkGeomorphology!L60</f>
        <v>7.2318026792321373</v>
      </c>
      <c r="R95" s="98"/>
      <c r="S95" s="14"/>
      <c r="BK95" s="3"/>
      <c r="BL95" s="3"/>
      <c r="BM95" s="3"/>
      <c r="BN95" s="3"/>
      <c r="BS95" s="1"/>
      <c r="BT95" s="1"/>
    </row>
    <row r="96" spans="1:72" x14ac:dyDescent="0.2">
      <c r="A96" s="62">
        <f t="shared" ref="A96:A101" si="26">A86</f>
        <v>5.0999999999999996</v>
      </c>
      <c r="B96" s="13">
        <f t="shared" ref="B96:B101" si="27">B86/A96</f>
        <v>1.5665295529554253E-3</v>
      </c>
      <c r="C96" s="13">
        <f t="shared" ref="C96:C101" si="28">IF(A86=0,0,C86/A86)</f>
        <v>46.353597591433413</v>
      </c>
      <c r="D96" s="13">
        <f t="shared" si="23"/>
        <v>619.63835823483168</v>
      </c>
      <c r="E96" s="69">
        <f t="shared" si="24"/>
        <v>7.4807501787786737E-2</v>
      </c>
      <c r="F96" s="13">
        <f t="shared" ref="F96:G101" si="29">IF($A86=0,0,F86/$A86)</f>
        <v>4.8634481343520646</v>
      </c>
      <c r="G96" s="13">
        <f t="shared" si="29"/>
        <v>50.477987912649311</v>
      </c>
      <c r="H96" s="95">
        <f t="shared" si="25"/>
        <v>9.6347900054338936E-2</v>
      </c>
      <c r="L96" s="25"/>
      <c r="M96" s="24"/>
      <c r="N96" s="24">
        <v>26</v>
      </c>
      <c r="O96" s="97">
        <f>NetworkGeomorphology!AF60</f>
        <v>4.6258577810900904E-2</v>
      </c>
      <c r="P96" s="98">
        <v>0</v>
      </c>
      <c r="Q96" s="24">
        <f>NetworkGeomorphology!M60</f>
        <v>20.712074677088498</v>
      </c>
      <c r="R96" s="98"/>
      <c r="S96" s="14"/>
      <c r="BK96" s="3"/>
      <c r="BL96" s="3"/>
      <c r="BM96" s="3"/>
      <c r="BN96" s="3"/>
      <c r="BS96" s="1"/>
      <c r="BT96" s="1"/>
    </row>
    <row r="97" spans="1:72" x14ac:dyDescent="0.2">
      <c r="A97" s="62">
        <f t="shared" si="26"/>
        <v>26.009999999999998</v>
      </c>
      <c r="B97" s="13">
        <f t="shared" si="27"/>
        <v>2.4710852782952007E-3</v>
      </c>
      <c r="C97" s="13">
        <f t="shared" si="28"/>
        <v>140.16226814256405</v>
      </c>
      <c r="D97" s="13">
        <f t="shared" si="23"/>
        <v>1287.5101729604189</v>
      </c>
      <c r="E97" s="69">
        <f t="shared" si="24"/>
        <v>0.10886303742383942</v>
      </c>
      <c r="F97" s="13">
        <f t="shared" si="29"/>
        <v>7.2366343923341514</v>
      </c>
      <c r="G97" s="13">
        <f t="shared" si="29"/>
        <v>47.344766974028701</v>
      </c>
      <c r="H97" s="95">
        <f t="shared" si="25"/>
        <v>0.1528497203567156</v>
      </c>
      <c r="L97" s="25"/>
      <c r="M97" s="38">
        <f>SUM(O93:O97)</f>
        <v>1.0000000000000002</v>
      </c>
      <c r="N97" s="24">
        <v>27</v>
      </c>
      <c r="O97" s="97">
        <f>NetworkGeomorphology!AG60</f>
        <v>1.8264271446829291E-2</v>
      </c>
      <c r="P97" s="98">
        <v>0</v>
      </c>
      <c r="Q97" s="24">
        <f>NetworkGeomorphology!N60</f>
        <v>13.513139036545258</v>
      </c>
      <c r="R97" s="98"/>
      <c r="S97" s="14"/>
      <c r="BK97" s="3"/>
      <c r="BL97" s="3"/>
      <c r="BM97" s="3"/>
      <c r="BN97" s="3"/>
      <c r="BS97" s="1"/>
      <c r="BT97" s="1"/>
    </row>
    <row r="98" spans="1:72" x14ac:dyDescent="0.2">
      <c r="A98" s="62">
        <f t="shared" si="26"/>
        <v>132.65099999999998</v>
      </c>
      <c r="B98" s="13">
        <f t="shared" si="27"/>
        <v>3.6089720436827712E-3</v>
      </c>
      <c r="C98" s="13">
        <f t="shared" si="28"/>
        <v>409.15717144839016</v>
      </c>
      <c r="D98" s="13">
        <f t="shared" si="23"/>
        <v>2521.9592156405856</v>
      </c>
      <c r="E98" s="69">
        <f t="shared" si="24"/>
        <v>0.16223782244807752</v>
      </c>
      <c r="F98" s="13">
        <f t="shared" si="29"/>
        <v>9.656998224503841</v>
      </c>
      <c r="G98" s="13">
        <f t="shared" si="29"/>
        <v>43.651496968916135</v>
      </c>
      <c r="H98" s="95">
        <f t="shared" si="25"/>
        <v>0.22122948570081133</v>
      </c>
      <c r="L98" s="25"/>
      <c r="M98" s="24"/>
      <c r="N98" s="24">
        <v>34</v>
      </c>
      <c r="O98" s="97">
        <f>NetworkGeomorphology!AD61</f>
        <v>0.7214911969253478</v>
      </c>
      <c r="P98" s="98">
        <f>NetworkGeomorphology!AM61</f>
        <v>0.43478260869565222</v>
      </c>
      <c r="Q98" s="98">
        <f>NetworkGeomorphology!K61</f>
        <v>3.3188595058565995</v>
      </c>
      <c r="R98" s="98"/>
      <c r="S98" s="14"/>
      <c r="BK98" s="3"/>
      <c r="BL98" s="3"/>
      <c r="BM98" s="3"/>
      <c r="BN98" s="3"/>
      <c r="BS98" s="1"/>
      <c r="BT98" s="1"/>
    </row>
    <row r="99" spans="1:72" x14ac:dyDescent="0.2">
      <c r="A99" s="62">
        <f t="shared" si="26"/>
        <v>676.52009999999984</v>
      </c>
      <c r="B99" s="13">
        <f t="shared" si="27"/>
        <v>5.1196314283561816E-3</v>
      </c>
      <c r="C99" s="13">
        <f t="shared" si="28"/>
        <v>1187.411619875626</v>
      </c>
      <c r="D99" s="13">
        <f t="shared" si="23"/>
        <v>4854.7887975307667</v>
      </c>
      <c r="E99" s="69">
        <f t="shared" si="24"/>
        <v>0.24458563892204024</v>
      </c>
      <c r="F99" s="13">
        <f t="shared" si="29"/>
        <v>12.304908414203297</v>
      </c>
      <c r="G99" s="13">
        <f t="shared" si="29"/>
        <v>40.884151311529173</v>
      </c>
      <c r="H99" s="95">
        <f t="shared" si="25"/>
        <v>0.30097013193308869</v>
      </c>
      <c r="L99" s="25"/>
      <c r="M99" s="24"/>
      <c r="N99" s="24">
        <v>35</v>
      </c>
      <c r="O99" s="97">
        <f>NetworkGeomorphology!AE61</f>
        <v>0.14905943494674542</v>
      </c>
      <c r="P99" s="98">
        <v>0</v>
      </c>
      <c r="Q99" s="24">
        <f>NetworkGeomorphology!L61</f>
        <v>3.1540976434731327</v>
      </c>
      <c r="R99" s="98"/>
      <c r="S99" s="14"/>
      <c r="BK99" s="3"/>
      <c r="BL99" s="3"/>
      <c r="BM99" s="3"/>
      <c r="BN99" s="3"/>
      <c r="BS99" s="1"/>
      <c r="BT99" s="1"/>
    </row>
    <row r="100" spans="1:72" x14ac:dyDescent="0.2">
      <c r="A100" s="62">
        <f t="shared" si="26"/>
        <v>3450.2525099999989</v>
      </c>
      <c r="B100" s="13">
        <f t="shared" si="27"/>
        <v>7.6752265806647978E-3</v>
      </c>
      <c r="C100" s="13">
        <f t="shared" si="28"/>
        <v>3544.6815063654572</v>
      </c>
      <c r="D100" s="13">
        <f t="shared" si="23"/>
        <v>9734.2884820912495</v>
      </c>
      <c r="E100" s="69">
        <f t="shared" si="24"/>
        <v>0.36414387275318777</v>
      </c>
      <c r="F100" s="13">
        <f t="shared" si="29"/>
        <v>17.053113187220536</v>
      </c>
      <c r="G100" s="13">
        <f t="shared" si="29"/>
        <v>44.169970922150611</v>
      </c>
      <c r="H100" s="95">
        <f t="shared" si="25"/>
        <v>0.38607933922520749</v>
      </c>
      <c r="L100" s="25"/>
      <c r="M100" s="24"/>
      <c r="N100" s="24">
        <v>36</v>
      </c>
      <c r="O100" s="97">
        <f>NetworkGeomorphology!AF61</f>
        <v>9.2806559800198474E-2</v>
      </c>
      <c r="P100" s="98">
        <v>0</v>
      </c>
      <c r="Q100" s="24">
        <f>NetworkGeomorphology!M61</f>
        <v>9.0334193047121154</v>
      </c>
      <c r="R100" s="98"/>
      <c r="S100" s="14"/>
      <c r="BK100" s="3"/>
      <c r="BL100" s="3"/>
      <c r="BM100" s="3"/>
      <c r="BN100" s="3"/>
      <c r="BS100" s="1"/>
      <c r="BT100" s="1"/>
    </row>
    <row r="101" spans="1:72" x14ac:dyDescent="0.2">
      <c r="A101" s="62">
        <f t="shared" si="26"/>
        <v>6321</v>
      </c>
      <c r="B101" s="13">
        <f t="shared" si="27"/>
        <v>1.0581255789930563E-2</v>
      </c>
      <c r="C101" s="13">
        <f t="shared" si="28"/>
        <v>6481.6710171031236</v>
      </c>
      <c r="D101" s="13">
        <f t="shared" si="23"/>
        <v>15304.778392186485</v>
      </c>
      <c r="E101" s="69">
        <f t="shared" si="24"/>
        <v>0.42350636193544605</v>
      </c>
      <c r="F101" s="13">
        <f t="shared" si="29"/>
        <v>22.502188096529132</v>
      </c>
      <c r="G101" s="13">
        <f t="shared" si="29"/>
        <v>49.999999999999979</v>
      </c>
      <c r="H101" s="95">
        <f t="shared" si="25"/>
        <v>0.45004376193058282</v>
      </c>
      <c r="L101" s="25"/>
      <c r="M101" s="38">
        <f>SUM(O98:O101)</f>
        <v>1</v>
      </c>
      <c r="N101" s="24">
        <v>37</v>
      </c>
      <c r="O101" s="97">
        <f>NetworkGeomorphology!AG61</f>
        <v>3.6642808327708248E-2</v>
      </c>
      <c r="P101" s="98">
        <v>0</v>
      </c>
      <c r="Q101" s="24">
        <f>NetworkGeomorphology!N61</f>
        <v>5.8936563788570782</v>
      </c>
      <c r="R101" s="98"/>
      <c r="S101" s="14"/>
      <c r="BK101" s="3"/>
      <c r="BL101" s="3"/>
      <c r="BM101" s="3"/>
      <c r="BN101" s="3"/>
      <c r="BS101" s="1"/>
      <c r="BT101" s="1"/>
    </row>
    <row r="102" spans="1:72" x14ac:dyDescent="0.2">
      <c r="A102" s="12"/>
      <c r="B102" s="13"/>
      <c r="C102" s="13"/>
      <c r="D102" s="13"/>
      <c r="E102" s="13"/>
      <c r="F102" s="13"/>
      <c r="G102" s="13"/>
      <c r="H102" s="37"/>
      <c r="L102" s="25"/>
      <c r="M102" s="24"/>
      <c r="N102" s="24">
        <v>45</v>
      </c>
      <c r="O102" s="97">
        <f>NetworkGeomorphology!AE62</f>
        <v>0.73729004845983359</v>
      </c>
      <c r="P102" s="98">
        <f>NetworkGeomorphology!AN62</f>
        <v>0.43478260869565222</v>
      </c>
      <c r="Q102" s="98">
        <f>NetworkGeomorphology!L62</f>
        <v>3.3915342229152343</v>
      </c>
      <c r="R102" s="98"/>
      <c r="S102" s="14"/>
      <c r="BK102" s="3"/>
      <c r="BL102" s="3"/>
      <c r="BM102" s="3"/>
      <c r="BN102" s="3"/>
      <c r="BS102" s="1"/>
      <c r="BT102" s="1"/>
    </row>
    <row r="103" spans="1:72" x14ac:dyDescent="0.2">
      <c r="A103" s="12">
        <f>LOG10(A85)</f>
        <v>0</v>
      </c>
      <c r="B103" s="13">
        <f t="shared" ref="B103" si="30">LOG10(B85)</f>
        <v>-3.0951258093376901</v>
      </c>
      <c r="C103" s="13">
        <f t="shared" ref="A103:H109" si="31">IF(C85=0,NA(),LOG10(C85))</f>
        <v>1.1197180387100079</v>
      </c>
      <c r="D103" s="13">
        <f t="shared" si="31"/>
        <v>2.3921540071053791</v>
      </c>
      <c r="E103" s="13">
        <f t="shared" si="31"/>
        <v>-1.272435968395371</v>
      </c>
      <c r="F103" s="13">
        <f t="shared" si="31"/>
        <v>0.40913682334045892</v>
      </c>
      <c r="G103" s="13">
        <f>IF(G85=0,NA(),LOG10(G85))</f>
        <v>1.6989700043360187</v>
      </c>
      <c r="H103" s="37">
        <f t="shared" si="31"/>
        <v>-1.2898331809955599</v>
      </c>
      <c r="L103" s="25"/>
      <c r="M103" s="24"/>
      <c r="N103" s="24">
        <v>46</v>
      </c>
      <c r="O103" s="97">
        <f>NetworkGeomorphology!AF62</f>
        <v>0.18834550666658362</v>
      </c>
      <c r="P103" s="98">
        <v>0</v>
      </c>
      <c r="Q103" s="24">
        <f>NetworkGeomorphology!M62</f>
        <v>3.9853909210649086</v>
      </c>
      <c r="R103" s="98"/>
      <c r="S103" s="14"/>
      <c r="BK103" s="3"/>
      <c r="BL103" s="3"/>
      <c r="BM103" s="3"/>
      <c r="BN103" s="3"/>
      <c r="BS103" s="1"/>
      <c r="BT103" s="1"/>
    </row>
    <row r="104" spans="1:72" x14ac:dyDescent="0.2">
      <c r="A104" s="12">
        <f t="shared" ref="A104:B106" si="32">LOG10(A86)</f>
        <v>0.70757017609793638</v>
      </c>
      <c r="B104" s="13">
        <f t="shared" si="32"/>
        <v>-2.0974912315375795</v>
      </c>
      <c r="C104" s="13">
        <f t="shared" si="31"/>
        <v>2.3736536223125433</v>
      </c>
      <c r="D104" s="13">
        <f t="shared" si="31"/>
        <v>3.499708470682342</v>
      </c>
      <c r="E104" s="13">
        <f t="shared" si="31"/>
        <v>-1.1260548483697985</v>
      </c>
      <c r="F104" s="13">
        <f t="shared" si="31"/>
        <v>1.3945144648537353</v>
      </c>
      <c r="G104" s="13">
        <f t="shared" si="31"/>
        <v>2.4106722114019781</v>
      </c>
      <c r="H104" s="37">
        <f t="shared" si="31"/>
        <v>-1.0161577465482428</v>
      </c>
      <c r="L104" s="25"/>
      <c r="M104" s="38">
        <f>SUM(O102:O104)</f>
        <v>1</v>
      </c>
      <c r="N104" s="24">
        <v>47</v>
      </c>
      <c r="O104" s="97">
        <f>NetworkGeomorphology!AG62</f>
        <v>7.436444487358275E-2</v>
      </c>
      <c r="P104" s="98">
        <v>0</v>
      </c>
      <c r="Q104" s="24">
        <f>NetworkGeomorphology!N62</f>
        <v>2.600180931701126</v>
      </c>
      <c r="R104" s="98"/>
      <c r="S104" s="14"/>
      <c r="BK104" s="3"/>
      <c r="BL104" s="3"/>
      <c r="BM104" s="3"/>
      <c r="BN104" s="3"/>
      <c r="BS104" s="1"/>
      <c r="BT104" s="1"/>
    </row>
    <row r="105" spans="1:72" x14ac:dyDescent="0.2">
      <c r="A105" s="12">
        <f t="shared" si="32"/>
        <v>1.4151403521958728</v>
      </c>
      <c r="B105" s="13">
        <f t="shared" si="32"/>
        <v>-1.1919719144401049</v>
      </c>
      <c r="C105" s="13">
        <f t="shared" si="31"/>
        <v>3.5617714689438906</v>
      </c>
      <c r="D105" s="13">
        <f t="shared" si="31"/>
        <v>4.5248910213989033</v>
      </c>
      <c r="E105" s="13">
        <f t="shared" si="31"/>
        <v>-0.96311955245501291</v>
      </c>
      <c r="F105" s="13">
        <f t="shared" si="31"/>
        <v>2.2746769840449867</v>
      </c>
      <c r="G105" s="13">
        <f t="shared" si="31"/>
        <v>3.0904123355373208</v>
      </c>
      <c r="H105" s="37">
        <f t="shared" si="31"/>
        <v>-0.815735351492334</v>
      </c>
      <c r="L105" s="25"/>
      <c r="M105" s="24"/>
      <c r="N105" s="24">
        <v>56</v>
      </c>
      <c r="O105" s="97">
        <f>NetworkGeomorphology!AF63</f>
        <v>0.84000576570919872</v>
      </c>
      <c r="P105" s="98">
        <f>NetworkGeomorphology!AO63</f>
        <v>0.43478260869565222</v>
      </c>
      <c r="Q105" s="98">
        <f>NetworkGeomorphology!M63</f>
        <v>3.8640265222623138</v>
      </c>
      <c r="R105" s="98"/>
      <c r="S105" s="14"/>
      <c r="BK105" s="3"/>
      <c r="BL105" s="3"/>
      <c r="BM105" s="3"/>
      <c r="BN105" s="3"/>
      <c r="BS105" s="1"/>
      <c r="BT105" s="1"/>
    </row>
    <row r="106" spans="1:72" x14ac:dyDescent="0.2">
      <c r="A106" s="12">
        <f t="shared" si="32"/>
        <v>2.1227105282938092</v>
      </c>
      <c r="B106" s="13">
        <f t="shared" si="32"/>
        <v>-0.31990595382549564</v>
      </c>
      <c r="C106" s="13">
        <f t="shared" si="31"/>
        <v>4.7346006959119205</v>
      </c>
      <c r="D106" s="13">
        <f t="shared" si="31"/>
        <v>5.5244485873090401</v>
      </c>
      <c r="E106" s="13">
        <f t="shared" si="31"/>
        <v>-0.78984789139711886</v>
      </c>
      <c r="F106" s="13">
        <f t="shared" si="31"/>
        <v>3.1075526798514868</v>
      </c>
      <c r="G106" s="13">
        <f t="shared" si="31"/>
        <v>3.762709670131323</v>
      </c>
      <c r="H106" s="37">
        <f t="shared" si="31"/>
        <v>-0.6551569902798362</v>
      </c>
      <c r="L106" s="25"/>
      <c r="M106" s="38">
        <f>SUM(O105:O106)</f>
        <v>1</v>
      </c>
      <c r="N106" s="24">
        <v>57</v>
      </c>
      <c r="O106" s="97">
        <f>NetworkGeomorphology!AG63</f>
        <v>0.15999423429080126</v>
      </c>
      <c r="P106" s="98">
        <v>0</v>
      </c>
      <c r="Q106" s="24">
        <f>NetworkGeomorphology!N63</f>
        <v>1.2161432379829258</v>
      </c>
      <c r="R106" s="24"/>
      <c r="S106" s="14"/>
      <c r="BK106" s="3"/>
      <c r="BL106" s="3"/>
      <c r="BM106" s="3"/>
      <c r="BN106" s="3"/>
      <c r="BS106" s="1"/>
      <c r="BT106" s="1"/>
    </row>
    <row r="107" spans="1:72" x14ac:dyDescent="0.2">
      <c r="A107" s="12">
        <f>IF(A89=0,NA(),LOG10(A89))</f>
        <v>2.8302807043917455</v>
      </c>
      <c r="B107" s="13">
        <f>IF(B89=0,NA(),LOG10(B89))</f>
        <v>0.53951940083773731</v>
      </c>
      <c r="C107" s="13">
        <f t="shared" si="31"/>
        <v>5.9048819989591923</v>
      </c>
      <c r="D107" s="13">
        <f t="shared" si="31"/>
        <v>6.5164510455230804</v>
      </c>
      <c r="E107" s="13">
        <f t="shared" si="31"/>
        <v>-0.61156904656388855</v>
      </c>
      <c r="F107" s="13">
        <f t="shared" si="31"/>
        <v>3.9203590899759422</v>
      </c>
      <c r="G107" s="13">
        <f t="shared" si="31"/>
        <v>4.4418356913265065</v>
      </c>
      <c r="H107" s="37">
        <f t="shared" si="31"/>
        <v>-0.52147660135056373</v>
      </c>
      <c r="L107" s="25"/>
      <c r="M107" s="24"/>
      <c r="N107" s="24">
        <v>67</v>
      </c>
      <c r="O107" s="97">
        <f>NetworkGeomorphology!AG64</f>
        <v>1</v>
      </c>
      <c r="P107" s="98">
        <f>NetworkGeomorphology!AP64</f>
        <v>1</v>
      </c>
      <c r="Q107" s="99">
        <f>NetworkGeomorphology!N64</f>
        <v>1.6524280762416024</v>
      </c>
      <c r="R107" s="24"/>
      <c r="S107" s="14"/>
      <c r="BK107" s="3"/>
      <c r="BL107" s="3"/>
      <c r="BM107" s="3"/>
      <c r="BN107" s="3"/>
      <c r="BS107" s="1"/>
      <c r="BT107" s="1"/>
    </row>
    <row r="108" spans="1:72" ht="16" thickBot="1" x14ac:dyDescent="0.25">
      <c r="A108" s="12">
        <f t="shared" ref="A108:D108" si="33">IF(A90=0,NA(),LOG10(A90))</f>
        <v>3.5378508804896818</v>
      </c>
      <c r="B108" s="13">
        <f t="shared" si="33"/>
        <v>1.4229420856525785</v>
      </c>
      <c r="C108" s="13">
        <f t="shared" si="31"/>
        <v>7.0874280999123149</v>
      </c>
      <c r="D108" s="13">
        <f t="shared" si="33"/>
        <v>7.5261550931927177</v>
      </c>
      <c r="E108" s="13">
        <f t="shared" si="31"/>
        <v>-0.43872699328040288</v>
      </c>
      <c r="F108" s="13">
        <f t="shared" si="31"/>
        <v>4.7696545551149985</v>
      </c>
      <c r="G108" s="13">
        <f t="shared" si="31"/>
        <v>5.182977993844661</v>
      </c>
      <c r="H108" s="37">
        <f t="shared" si="31"/>
        <v>-0.41332343872966293</v>
      </c>
      <c r="L108" s="31"/>
      <c r="M108" s="41"/>
      <c r="N108" s="41"/>
      <c r="O108" s="41"/>
      <c r="P108" s="41"/>
      <c r="Q108" s="41"/>
      <c r="R108" s="41"/>
      <c r="S108" s="33"/>
      <c r="BK108" s="3"/>
      <c r="BL108" s="3"/>
      <c r="BM108" s="3"/>
      <c r="BN108" s="3"/>
      <c r="BS108" s="1"/>
      <c r="BT108" s="1"/>
    </row>
    <row r="109" spans="1:72" x14ac:dyDescent="0.2">
      <c r="A109" s="12">
        <f t="shared" si="31"/>
        <v>3.8007857903277626</v>
      </c>
      <c r="B109" s="13">
        <f t="shared" si="31"/>
        <v>1.8253230034213359</v>
      </c>
      <c r="C109" s="13">
        <f t="shared" si="31"/>
        <v>7.6124727745860366</v>
      </c>
      <c r="D109" s="13">
        <f t="shared" si="31"/>
        <v>7.9856128358751421</v>
      </c>
      <c r="E109" s="13">
        <f t="shared" si="31"/>
        <v>-0.37314006128910493</v>
      </c>
      <c r="F109" s="13">
        <f t="shared" si="31"/>
        <v>5.1530105409744493</v>
      </c>
      <c r="G109" s="13">
        <f t="shared" si="31"/>
        <v>5.4997557946637814</v>
      </c>
      <c r="H109" s="37">
        <f t="shared" si="31"/>
        <v>-0.34674525368933218</v>
      </c>
      <c r="BK109" s="3"/>
      <c r="BL109" s="3"/>
      <c r="BM109" s="3"/>
      <c r="BN109" s="3"/>
      <c r="BS109" s="1"/>
      <c r="BT109" s="1"/>
    </row>
    <row r="110" spans="1:72" x14ac:dyDescent="0.2">
      <c r="A110" s="12"/>
      <c r="B110" s="13"/>
      <c r="C110" s="13"/>
      <c r="D110" s="13"/>
      <c r="E110" s="13"/>
      <c r="F110" s="13"/>
      <c r="G110" s="13"/>
      <c r="H110" s="37"/>
      <c r="BK110" s="3"/>
      <c r="BL110" s="3"/>
      <c r="BM110" s="3"/>
      <c r="BN110" s="3"/>
      <c r="BS110" s="1"/>
      <c r="BT110" s="1"/>
    </row>
    <row r="111" spans="1:72" x14ac:dyDescent="0.2">
      <c r="A111" s="12"/>
      <c r="B111" s="13"/>
      <c r="C111" s="13"/>
      <c r="D111" s="13"/>
      <c r="E111" s="13"/>
      <c r="F111" s="13"/>
      <c r="G111" s="13"/>
      <c r="H111" s="37"/>
      <c r="BK111" s="3"/>
      <c r="BL111" s="3"/>
      <c r="BM111" s="3"/>
      <c r="BN111" s="3"/>
      <c r="BS111" s="1"/>
      <c r="BT111" s="1"/>
    </row>
    <row r="112" spans="1:72" x14ac:dyDescent="0.2">
      <c r="A112" s="12" t="s">
        <v>235</v>
      </c>
      <c r="B112" s="13">
        <f>10^INTERCEPT(B103:B108,$A103:$A108)</f>
        <v>9.3046766785794812E-4</v>
      </c>
      <c r="C112" s="13">
        <f t="shared" ref="C112:H112" si="34">10^INTERCEPT(C103:C108,$A103:$A108)</f>
        <v>14.406284520290511</v>
      </c>
      <c r="D112" s="13">
        <f t="shared" si="34"/>
        <v>279.18221459865083</v>
      </c>
      <c r="E112" s="13">
        <f t="shared" si="34"/>
        <v>5.160172735573728E-2</v>
      </c>
      <c r="F112" s="13">
        <f>10^INTERCEPT(F103:F108,$A103:$A108)</f>
        <v>3.0754674202620023</v>
      </c>
      <c r="G112" s="13">
        <f t="shared" si="34"/>
        <v>50.54798657053589</v>
      </c>
      <c r="H112" s="37">
        <f t="shared" si="34"/>
        <v>6.0842530611390826E-2</v>
      </c>
      <c r="BK112" s="3"/>
      <c r="BL112" s="3"/>
      <c r="BM112" s="3"/>
      <c r="BN112" s="3"/>
      <c r="BS112" s="1"/>
      <c r="BT112" s="1"/>
    </row>
    <row r="113" spans="1:72" x14ac:dyDescent="0.2">
      <c r="A113" s="12" t="s">
        <v>236</v>
      </c>
      <c r="B113" s="13">
        <f>LINEST(B103:B108,$A103:$A108)</f>
        <v>1.2668480866937031</v>
      </c>
      <c r="C113" s="13">
        <f t="shared" ref="C113:H113" si="35">LINEST(C103:C108,$A103:$A108)</f>
        <v>1.6799975089138566</v>
      </c>
      <c r="D113" s="13">
        <f t="shared" si="35"/>
        <v>1.4423522692771442</v>
      </c>
      <c r="E113" s="13">
        <f t="shared" si="35"/>
        <v>0.23764523963671219</v>
      </c>
      <c r="F113" s="13">
        <f t="shared" si="35"/>
        <v>1.2199899741661393</v>
      </c>
      <c r="G113" s="13">
        <f t="shared" si="35"/>
        <v>0.97661500235674958</v>
      </c>
      <c r="H113" s="37">
        <f t="shared" si="35"/>
        <v>0.24337497180939024</v>
      </c>
      <c r="BK113" s="3"/>
      <c r="BL113" s="3"/>
      <c r="BM113" s="3"/>
      <c r="BN113" s="3"/>
      <c r="BS113" s="1"/>
      <c r="BT113" s="1"/>
    </row>
    <row r="114" spans="1:72" x14ac:dyDescent="0.2">
      <c r="A114" s="25"/>
      <c r="B114" s="24"/>
      <c r="C114" s="24"/>
      <c r="D114" s="24"/>
      <c r="E114" s="24"/>
      <c r="F114" s="24"/>
      <c r="G114" s="24"/>
      <c r="H114" s="14"/>
      <c r="BK114" s="3"/>
      <c r="BL114" s="3"/>
      <c r="BM114" s="3"/>
      <c r="BN114" s="3"/>
      <c r="BS114" s="1"/>
      <c r="BT114" s="1"/>
    </row>
    <row r="115" spans="1:72" ht="16" thickBot="1" x14ac:dyDescent="0.25">
      <c r="A115" s="31"/>
      <c r="B115" s="41"/>
      <c r="C115" s="41"/>
      <c r="D115" s="41"/>
      <c r="E115" s="41"/>
      <c r="F115" s="41"/>
      <c r="G115" s="41"/>
      <c r="H115" s="33"/>
      <c r="BK115" s="3"/>
      <c r="BL115" s="3"/>
      <c r="BM115" s="3"/>
      <c r="BN115" s="3"/>
      <c r="BS115" s="1"/>
      <c r="BT115" s="1"/>
    </row>
    <row r="116" spans="1:72" x14ac:dyDescent="0.2">
      <c r="BK116" s="3"/>
      <c r="BL116" s="3"/>
      <c r="BM116" s="3"/>
      <c r="BN116" s="3"/>
      <c r="BS116" s="1"/>
      <c r="BT116" s="1"/>
    </row>
    <row r="117" spans="1:72" x14ac:dyDescent="0.2">
      <c r="BK117" s="3"/>
      <c r="BL117" s="3"/>
      <c r="BM117" s="3"/>
      <c r="BN117" s="3"/>
      <c r="BS117" s="1"/>
      <c r="BT117" s="1"/>
    </row>
    <row r="118" spans="1:72" x14ac:dyDescent="0.2">
      <c r="BK118" s="3"/>
      <c r="BL118" s="3"/>
      <c r="BM118" s="3"/>
      <c r="BN118" s="3"/>
      <c r="BS118" s="1"/>
      <c r="BT118" s="1"/>
    </row>
    <row r="119" spans="1:72" x14ac:dyDescent="0.2">
      <c r="BK119" s="3"/>
      <c r="BL119" s="3"/>
      <c r="BM119" s="3"/>
      <c r="BN119" s="3"/>
      <c r="BS119" s="1"/>
      <c r="BT119" s="1"/>
    </row>
    <row r="120" spans="1:72" x14ac:dyDescent="0.2">
      <c r="BK120" s="3"/>
      <c r="BL120" s="3"/>
      <c r="BM120" s="3"/>
      <c r="BN120" s="3"/>
      <c r="BS120" s="1"/>
      <c r="BT120" s="1"/>
    </row>
    <row r="121" spans="1:72" x14ac:dyDescent="0.2">
      <c r="BK121" s="3"/>
      <c r="BL121" s="3"/>
      <c r="BM121" s="3"/>
      <c r="BN121" s="3"/>
      <c r="BS121" s="1"/>
      <c r="BT121" s="1"/>
    </row>
    <row r="122" spans="1:72" x14ac:dyDescent="0.2">
      <c r="BK122" s="3"/>
      <c r="BL122" s="3"/>
      <c r="BM122" s="3"/>
      <c r="BN122" s="3"/>
      <c r="BS122" s="1"/>
      <c r="BT122" s="1"/>
    </row>
    <row r="123" spans="1:72" x14ac:dyDescent="0.2">
      <c r="BK123" s="3"/>
      <c r="BL123" s="3"/>
      <c r="BM123" s="3"/>
      <c r="BN123" s="3"/>
      <c r="BS123" s="1"/>
      <c r="BT123" s="1"/>
    </row>
    <row r="124" spans="1:72" x14ac:dyDescent="0.2">
      <c r="BK124" s="3"/>
      <c r="BL124" s="3"/>
      <c r="BM124" s="3"/>
      <c r="BN124" s="3"/>
      <c r="BS124" s="1"/>
      <c r="BT124" s="1"/>
    </row>
    <row r="125" spans="1:72" x14ac:dyDescent="0.2">
      <c r="BK125" s="3"/>
      <c r="BL125" s="3"/>
      <c r="BM125" s="3"/>
      <c r="BN125" s="3"/>
      <c r="BS125" s="1"/>
      <c r="BT125" s="1"/>
    </row>
    <row r="126" spans="1:72" x14ac:dyDescent="0.2">
      <c r="BK126" s="3"/>
      <c r="BL126" s="3"/>
      <c r="BM126" s="3"/>
      <c r="BN126" s="3"/>
      <c r="BS126" s="1"/>
      <c r="BT126" s="1"/>
    </row>
    <row r="127" spans="1:72" x14ac:dyDescent="0.2">
      <c r="BK127" s="3"/>
      <c r="BL127" s="3"/>
      <c r="BM127" s="3"/>
      <c r="BN127" s="3"/>
      <c r="BS127" s="1"/>
      <c r="BT127" s="1"/>
    </row>
    <row r="128" spans="1:72" x14ac:dyDescent="0.2">
      <c r="BK128" s="3"/>
      <c r="BL128" s="3"/>
      <c r="BM128" s="3"/>
      <c r="BN128" s="3"/>
      <c r="BS128" s="1"/>
      <c r="BT128" s="1"/>
    </row>
    <row r="129" spans="63:72" x14ac:dyDescent="0.2">
      <c r="BK129" s="3"/>
      <c r="BL129" s="3"/>
      <c r="BM129" s="3"/>
      <c r="BN129" s="3"/>
      <c r="BS129" s="1"/>
      <c r="BT129" s="1"/>
    </row>
    <row r="130" spans="63:72" x14ac:dyDescent="0.2">
      <c r="BK130" s="3"/>
      <c r="BL130" s="3"/>
      <c r="BM130" s="3"/>
      <c r="BN130" s="3"/>
      <c r="BS130" s="1"/>
      <c r="BT130" s="1"/>
    </row>
    <row r="131" spans="63:72" x14ac:dyDescent="0.2">
      <c r="BK131" s="3"/>
      <c r="BL131" s="3"/>
      <c r="BM131" s="3"/>
      <c r="BN131" s="3"/>
      <c r="BS131" s="1"/>
      <c r="BT131" s="1"/>
    </row>
    <row r="132" spans="63:72" x14ac:dyDescent="0.2">
      <c r="BK132" s="3"/>
      <c r="BL132" s="3"/>
      <c r="BM132" s="3"/>
      <c r="BN132" s="3"/>
      <c r="BS132" s="1"/>
      <c r="BT132" s="1"/>
    </row>
    <row r="133" spans="63:72" x14ac:dyDescent="0.2">
      <c r="BK133" s="3"/>
      <c r="BL133" s="3"/>
      <c r="BM133" s="3"/>
      <c r="BN133" s="3"/>
      <c r="BS133" s="1"/>
      <c r="BT133" s="1"/>
    </row>
    <row r="134" spans="63:72" x14ac:dyDescent="0.2">
      <c r="BK134" s="3"/>
      <c r="BL134" s="3"/>
      <c r="BM134" s="3"/>
      <c r="BN134" s="3"/>
      <c r="BS134" s="1"/>
      <c r="BT134" s="1"/>
    </row>
    <row r="135" spans="63:72" x14ac:dyDescent="0.2">
      <c r="BK135" s="3"/>
      <c r="BL135" s="3"/>
      <c r="BM135" s="3"/>
      <c r="BN135" s="3"/>
      <c r="BS135" s="1"/>
      <c r="BT135" s="1"/>
    </row>
    <row r="136" spans="63:72" x14ac:dyDescent="0.2">
      <c r="BK136" s="3"/>
      <c r="BL136" s="3"/>
      <c r="BM136" s="3"/>
      <c r="BN136" s="3"/>
      <c r="BS136" s="1"/>
      <c r="BT136" s="1"/>
    </row>
    <row r="137" spans="63:72" x14ac:dyDescent="0.2">
      <c r="BK137" s="3"/>
      <c r="BL137" s="3"/>
      <c r="BM137" s="3"/>
      <c r="BN137" s="3"/>
      <c r="BS137" s="1"/>
      <c r="BT137" s="1"/>
    </row>
    <row r="138" spans="63:72" x14ac:dyDescent="0.2">
      <c r="BK138" s="3"/>
      <c r="BL138" s="3"/>
      <c r="BM138" s="3"/>
      <c r="BN138" s="3"/>
      <c r="BS138" s="1"/>
      <c r="BT138" s="1"/>
    </row>
    <row r="139" spans="63:72" x14ac:dyDescent="0.2">
      <c r="BK139" s="3"/>
      <c r="BL139" s="3"/>
      <c r="BM139" s="3"/>
      <c r="BN139" s="3"/>
      <c r="BS139" s="1"/>
      <c r="BT139" s="1"/>
    </row>
    <row r="140" spans="63:72" x14ac:dyDescent="0.2">
      <c r="BK140" s="3"/>
      <c r="BL140" s="3"/>
      <c r="BM140" s="3"/>
      <c r="BN140" s="3"/>
      <c r="BS140" s="1"/>
      <c r="BT140" s="1"/>
    </row>
    <row r="141" spans="63:72" x14ac:dyDescent="0.2">
      <c r="BK141" s="3"/>
      <c r="BL141" s="3"/>
      <c r="BM141" s="3"/>
      <c r="BN141" s="3"/>
      <c r="BS141" s="1"/>
      <c r="BT141" s="1"/>
    </row>
    <row r="142" spans="63:72" x14ac:dyDescent="0.2">
      <c r="BK142" s="3"/>
      <c r="BL142" s="3"/>
      <c r="BM142" s="3"/>
      <c r="BN142" s="3"/>
      <c r="BS142" s="1"/>
      <c r="BT142" s="1"/>
    </row>
    <row r="143" spans="63:72" x14ac:dyDescent="0.2">
      <c r="BK143" s="3"/>
      <c r="BL143" s="3"/>
      <c r="BM143" s="3"/>
      <c r="BN143" s="3"/>
      <c r="BS143" s="1"/>
      <c r="BT143" s="1"/>
    </row>
    <row r="144" spans="63:72" x14ac:dyDescent="0.2">
      <c r="BK144" s="3"/>
      <c r="BL144" s="3"/>
      <c r="BM144" s="3"/>
      <c r="BN144" s="3"/>
      <c r="BS144" s="1"/>
      <c r="BT144" s="1"/>
    </row>
    <row r="145" spans="63:72" x14ac:dyDescent="0.2">
      <c r="BK145" s="3"/>
      <c r="BL145" s="3"/>
      <c r="BM145" s="3"/>
      <c r="BN145" s="3"/>
      <c r="BS145" s="1"/>
      <c r="BT145" s="1"/>
    </row>
    <row r="146" spans="63:72" x14ac:dyDescent="0.2">
      <c r="BK146" s="3"/>
      <c r="BL146" s="3"/>
      <c r="BM146" s="3"/>
      <c r="BN146" s="3"/>
      <c r="BS146" s="1"/>
      <c r="BT146" s="1"/>
    </row>
    <row r="147" spans="63:72" x14ac:dyDescent="0.2">
      <c r="BK147" s="3"/>
      <c r="BL147" s="3"/>
      <c r="BM147" s="3"/>
      <c r="BN147" s="3"/>
      <c r="BS147" s="1"/>
      <c r="BT147" s="1"/>
    </row>
    <row r="148" spans="63:72" x14ac:dyDescent="0.2">
      <c r="BK148" s="3"/>
      <c r="BL148" s="3"/>
      <c r="BM148" s="3"/>
      <c r="BN148" s="3"/>
      <c r="BS148" s="1"/>
      <c r="BT148" s="1"/>
    </row>
    <row r="149" spans="63:72" x14ac:dyDescent="0.2">
      <c r="BK149" s="3"/>
      <c r="BL149" s="3"/>
      <c r="BM149" s="3"/>
      <c r="BN149" s="3"/>
      <c r="BS149" s="1"/>
      <c r="BT149" s="1"/>
    </row>
    <row r="150" spans="63:72" x14ac:dyDescent="0.2">
      <c r="BK150" s="3"/>
      <c r="BL150" s="3"/>
      <c r="BM150" s="3"/>
      <c r="BN150" s="3"/>
      <c r="BS150" s="1"/>
      <c r="BT150" s="1"/>
    </row>
    <row r="151" spans="63:72" x14ac:dyDescent="0.2">
      <c r="BK151" s="3"/>
      <c r="BL151" s="3"/>
      <c r="BM151" s="3"/>
      <c r="BN151" s="3"/>
      <c r="BS151" s="1"/>
      <c r="BT151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NetworkGeomorphology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Wilfred Wollheim</cp:lastModifiedBy>
  <dcterms:created xsi:type="dcterms:W3CDTF">2019-10-24T14:35:41Z</dcterms:created>
  <dcterms:modified xsi:type="dcterms:W3CDTF">2022-01-13T16:16:11Z</dcterms:modified>
</cp:coreProperties>
</file>