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ott\Desktop\GitHub\Excel Financial Engineering and Investment Management\"/>
    </mc:Choice>
  </mc:AlternateContent>
  <xr:revisionPtr revIDLastSave="0" documentId="13_ncr:1_{418D3EA0-5EC1-4663-B23D-88D7879EA58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quities in Practice" sheetId="14" r:id="rId1"/>
    <sheet name="Find_Vol" sheetId="16" r:id="rId2"/>
    <sheet name="DemoSheet" sheetId="1" r:id="rId3"/>
    <sheet name="StockPricePaths" sheetId="4" r:id="rId4"/>
    <sheet name="Stock Path 1" sheetId="9" r:id="rId5"/>
    <sheet name="Stock Path 2" sheetId="10" r:id="rId6"/>
    <sheet name="Stock Path 3" sheetId="11" r:id="rId7"/>
    <sheet name="Stock Path 4" sheetId="12" r:id="rId8"/>
  </sheets>
  <definedNames>
    <definedName name="solver_adj" localSheetId="1" hidden="1">Find_Vol!$H$2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Find_Vol!$M$2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9.625</definedName>
    <definedName name="solver_ver" localSheetId="1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6" l="1"/>
  <c r="I2" i="16"/>
  <c r="J2" i="16"/>
  <c r="L2" i="16"/>
  <c r="M2" i="16"/>
  <c r="K2" i="16"/>
  <c r="D2" i="16"/>
  <c r="I3" i="16"/>
  <c r="J3" i="16"/>
  <c r="L3" i="16"/>
  <c r="M3" i="16"/>
  <c r="H4" i="16"/>
  <c r="I4" i="16"/>
  <c r="J4" i="16"/>
  <c r="L4" i="16"/>
  <c r="M4" i="16"/>
  <c r="N4" i="16"/>
  <c r="K4" i="16"/>
  <c r="K3" i="16"/>
  <c r="I2" i="14"/>
  <c r="E8" i="14"/>
  <c r="E3" i="14"/>
  <c r="E2" i="14"/>
  <c r="K2" i="14"/>
  <c r="L2" i="14"/>
  <c r="J10" i="14"/>
  <c r="I15" i="14"/>
  <c r="I3" i="14"/>
  <c r="K3" i="14"/>
  <c r="L3" i="14"/>
  <c r="J11" i="14"/>
  <c r="J12" i="14"/>
  <c r="I9" i="14"/>
  <c r="I11" i="14"/>
  <c r="I10" i="14"/>
  <c r="J15" i="14"/>
  <c r="E4" i="14"/>
  <c r="I12" i="14"/>
  <c r="H2" i="14"/>
  <c r="K9" i="14"/>
  <c r="H4" i="14"/>
  <c r="J2" i="14"/>
  <c r="M2" i="14"/>
  <c r="H3" i="14"/>
  <c r="J3" i="14"/>
  <c r="M3" i="14"/>
  <c r="G8" i="14"/>
  <c r="I4" i="14"/>
  <c r="J4" i="14"/>
  <c r="K4" i="14"/>
  <c r="L4" i="14"/>
  <c r="M4" i="14"/>
  <c r="F8" i="14"/>
  <c r="R4" i="14"/>
  <c r="R3" i="14"/>
  <c r="R2" i="14"/>
  <c r="F3" i="1"/>
  <c r="L9" i="14"/>
  <c r="L10" i="14"/>
  <c r="N3" i="14"/>
  <c r="Q3" i="14"/>
  <c r="P3" i="14"/>
  <c r="O3" i="14"/>
  <c r="S4" i="14"/>
  <c r="N4" i="14"/>
  <c r="Q4" i="14"/>
  <c r="P4" i="14"/>
  <c r="O4" i="14"/>
  <c r="N2" i="14"/>
  <c r="Q2" i="14"/>
  <c r="P2" i="14"/>
  <c r="O2" i="14"/>
  <c r="O2" i="1"/>
  <c r="L2" i="1"/>
  <c r="G3" i="1"/>
  <c r="G2" i="1"/>
  <c r="E2" i="12"/>
  <c r="Q52" i="12"/>
  <c r="G2" i="12"/>
  <c r="L2" i="12"/>
  <c r="M2" i="12"/>
  <c r="N2" i="12"/>
  <c r="O2" i="12"/>
  <c r="F2" i="12"/>
  <c r="H2" i="12"/>
  <c r="I2" i="12"/>
  <c r="F3" i="12"/>
  <c r="G3" i="12"/>
  <c r="L3" i="12"/>
  <c r="H3" i="12"/>
  <c r="I3" i="12"/>
  <c r="F4" i="12"/>
  <c r="G4" i="12"/>
  <c r="L4" i="12"/>
  <c r="H4" i="12"/>
  <c r="I4" i="12"/>
  <c r="F5" i="12"/>
  <c r="G5" i="12"/>
  <c r="L5" i="12"/>
  <c r="H5" i="12"/>
  <c r="I5" i="12"/>
  <c r="F6" i="12"/>
  <c r="G6" i="12"/>
  <c r="L6" i="12"/>
  <c r="H6" i="12"/>
  <c r="I6" i="12"/>
  <c r="F7" i="12"/>
  <c r="G7" i="12"/>
  <c r="L7" i="12"/>
  <c r="H7" i="12"/>
  <c r="I7" i="12"/>
  <c r="F8" i="12"/>
  <c r="G8" i="12"/>
  <c r="L8" i="12"/>
  <c r="H8" i="12"/>
  <c r="I8" i="12"/>
  <c r="F9" i="12"/>
  <c r="G9" i="12"/>
  <c r="L9" i="12"/>
  <c r="H9" i="12"/>
  <c r="I9" i="12"/>
  <c r="F10" i="12"/>
  <c r="G10" i="12"/>
  <c r="L10" i="12"/>
  <c r="H10" i="12"/>
  <c r="I10" i="12"/>
  <c r="F11" i="12"/>
  <c r="G11" i="12"/>
  <c r="L11" i="12"/>
  <c r="H11" i="12"/>
  <c r="I11" i="12"/>
  <c r="F12" i="12"/>
  <c r="G12" i="12"/>
  <c r="L12" i="12"/>
  <c r="H12" i="12"/>
  <c r="I12" i="12"/>
  <c r="F13" i="12"/>
  <c r="G13" i="12"/>
  <c r="L13" i="12"/>
  <c r="H13" i="12"/>
  <c r="I13" i="12"/>
  <c r="F14" i="12"/>
  <c r="G14" i="12"/>
  <c r="L14" i="12"/>
  <c r="H14" i="12"/>
  <c r="I14" i="12"/>
  <c r="F15" i="12"/>
  <c r="G15" i="12"/>
  <c r="L15" i="12"/>
  <c r="H15" i="12"/>
  <c r="I15" i="12"/>
  <c r="F16" i="12"/>
  <c r="G16" i="12"/>
  <c r="L16" i="12"/>
  <c r="H16" i="12"/>
  <c r="I16" i="12"/>
  <c r="F17" i="12"/>
  <c r="G17" i="12"/>
  <c r="L17" i="12"/>
  <c r="H17" i="12"/>
  <c r="I17" i="12"/>
  <c r="F18" i="12"/>
  <c r="G18" i="12"/>
  <c r="L18" i="12"/>
  <c r="H18" i="12"/>
  <c r="I18" i="12"/>
  <c r="F19" i="12"/>
  <c r="G19" i="12"/>
  <c r="L19" i="12"/>
  <c r="H19" i="12"/>
  <c r="I19" i="12"/>
  <c r="F20" i="12"/>
  <c r="G20" i="12"/>
  <c r="L20" i="12"/>
  <c r="H20" i="12"/>
  <c r="I20" i="12"/>
  <c r="F21" i="12"/>
  <c r="G21" i="12"/>
  <c r="L21" i="12"/>
  <c r="H21" i="12"/>
  <c r="I21" i="12"/>
  <c r="F22" i="12"/>
  <c r="G22" i="12"/>
  <c r="L22" i="12"/>
  <c r="H22" i="12"/>
  <c r="I22" i="12"/>
  <c r="F23" i="12"/>
  <c r="G23" i="12"/>
  <c r="L23" i="12"/>
  <c r="H23" i="12"/>
  <c r="I23" i="12"/>
  <c r="F24" i="12"/>
  <c r="G24" i="12"/>
  <c r="L24" i="12"/>
  <c r="H24" i="12"/>
  <c r="I24" i="12"/>
  <c r="F25" i="12"/>
  <c r="G25" i="12"/>
  <c r="L25" i="12"/>
  <c r="H25" i="12"/>
  <c r="I25" i="12"/>
  <c r="F26" i="12"/>
  <c r="G26" i="12"/>
  <c r="L26" i="12"/>
  <c r="H26" i="12"/>
  <c r="I26" i="12"/>
  <c r="F27" i="12"/>
  <c r="G27" i="12"/>
  <c r="L27" i="12"/>
  <c r="H27" i="12"/>
  <c r="I27" i="12"/>
  <c r="F28" i="12"/>
  <c r="G28" i="12"/>
  <c r="L28" i="12"/>
  <c r="H28" i="12"/>
  <c r="I28" i="12"/>
  <c r="F29" i="12"/>
  <c r="G29" i="12"/>
  <c r="L29" i="12"/>
  <c r="H29" i="12"/>
  <c r="I29" i="12"/>
  <c r="F30" i="12"/>
  <c r="G30" i="12"/>
  <c r="L30" i="12"/>
  <c r="H30" i="12"/>
  <c r="I30" i="12"/>
  <c r="F31" i="12"/>
  <c r="G31" i="12"/>
  <c r="L31" i="12"/>
  <c r="H31" i="12"/>
  <c r="I31" i="12"/>
  <c r="F32" i="12"/>
  <c r="G32" i="12"/>
  <c r="L32" i="12"/>
  <c r="H32" i="12"/>
  <c r="I32" i="12"/>
  <c r="F33" i="12"/>
  <c r="G33" i="12"/>
  <c r="L33" i="12"/>
  <c r="H33" i="12"/>
  <c r="I33" i="12"/>
  <c r="F34" i="12"/>
  <c r="G34" i="12"/>
  <c r="L34" i="12"/>
  <c r="H34" i="12"/>
  <c r="I34" i="12"/>
  <c r="F35" i="12"/>
  <c r="G35" i="12"/>
  <c r="L35" i="12"/>
  <c r="H35" i="12"/>
  <c r="I35" i="12"/>
  <c r="F36" i="12"/>
  <c r="G36" i="12"/>
  <c r="L36" i="12"/>
  <c r="H36" i="12"/>
  <c r="I36" i="12"/>
  <c r="F37" i="12"/>
  <c r="G37" i="12"/>
  <c r="L37" i="12"/>
  <c r="H37" i="12"/>
  <c r="I37" i="12"/>
  <c r="F38" i="12"/>
  <c r="G38" i="12"/>
  <c r="L38" i="12"/>
  <c r="H38" i="12"/>
  <c r="I38" i="12"/>
  <c r="F39" i="12"/>
  <c r="G39" i="12"/>
  <c r="L39" i="12"/>
  <c r="H39" i="12"/>
  <c r="I39" i="12"/>
  <c r="F40" i="12"/>
  <c r="G40" i="12"/>
  <c r="L40" i="12"/>
  <c r="H40" i="12"/>
  <c r="I40" i="12"/>
  <c r="F41" i="12"/>
  <c r="G41" i="12"/>
  <c r="L41" i="12"/>
  <c r="H41" i="12"/>
  <c r="I41" i="12"/>
  <c r="F42" i="12"/>
  <c r="G42" i="12"/>
  <c r="L42" i="12"/>
  <c r="H42" i="12"/>
  <c r="I42" i="12"/>
  <c r="F43" i="12"/>
  <c r="G43" i="12"/>
  <c r="L43" i="12"/>
  <c r="H43" i="12"/>
  <c r="I43" i="12"/>
  <c r="F44" i="12"/>
  <c r="G44" i="12"/>
  <c r="L44" i="12"/>
  <c r="H44" i="12"/>
  <c r="I44" i="12"/>
  <c r="F45" i="12"/>
  <c r="G45" i="12"/>
  <c r="L45" i="12"/>
  <c r="H45" i="12"/>
  <c r="I45" i="12"/>
  <c r="F46" i="12"/>
  <c r="G46" i="12"/>
  <c r="L46" i="12"/>
  <c r="H46" i="12"/>
  <c r="I46" i="12"/>
  <c r="F47" i="12"/>
  <c r="G47" i="12"/>
  <c r="L47" i="12"/>
  <c r="H47" i="12"/>
  <c r="I47" i="12"/>
  <c r="F48" i="12"/>
  <c r="G48" i="12"/>
  <c r="L48" i="12"/>
  <c r="H48" i="12"/>
  <c r="I48" i="12"/>
  <c r="F49" i="12"/>
  <c r="G49" i="12"/>
  <c r="L49" i="12"/>
  <c r="H49" i="12"/>
  <c r="I49" i="12"/>
  <c r="F50" i="12"/>
  <c r="G50" i="12"/>
  <c r="L50" i="12"/>
  <c r="H50" i="12"/>
  <c r="I50" i="12"/>
  <c r="F51" i="12"/>
  <c r="G51" i="12"/>
  <c r="L51" i="12"/>
  <c r="H51" i="12"/>
  <c r="I51" i="12"/>
  <c r="F52" i="12"/>
  <c r="Q51" i="12"/>
  <c r="M51" i="12"/>
  <c r="N51" i="12"/>
  <c r="Q50" i="12"/>
  <c r="M50" i="12"/>
  <c r="N50" i="12"/>
  <c r="Q49" i="12"/>
  <c r="M49" i="12"/>
  <c r="N49" i="12"/>
  <c r="Q48" i="12"/>
  <c r="M48" i="12"/>
  <c r="N48" i="12"/>
  <c r="Q47" i="12"/>
  <c r="M47" i="12"/>
  <c r="N47" i="12"/>
  <c r="Q46" i="12"/>
  <c r="M46" i="12"/>
  <c r="N46" i="12"/>
  <c r="Q45" i="12"/>
  <c r="M45" i="12"/>
  <c r="N45" i="12"/>
  <c r="Q44" i="12"/>
  <c r="M44" i="12"/>
  <c r="N44" i="12"/>
  <c r="Q43" i="12"/>
  <c r="M43" i="12"/>
  <c r="N43" i="12"/>
  <c r="Q42" i="12"/>
  <c r="M42" i="12"/>
  <c r="N42" i="12"/>
  <c r="Q41" i="12"/>
  <c r="M41" i="12"/>
  <c r="N41" i="12"/>
  <c r="Q40" i="12"/>
  <c r="M40" i="12"/>
  <c r="N40" i="12"/>
  <c r="Q39" i="12"/>
  <c r="M39" i="12"/>
  <c r="N39" i="12"/>
  <c r="Q38" i="12"/>
  <c r="M38" i="12"/>
  <c r="N38" i="12"/>
  <c r="Q37" i="12"/>
  <c r="M37" i="12"/>
  <c r="N37" i="12"/>
  <c r="Q36" i="12"/>
  <c r="M36" i="12"/>
  <c r="N36" i="12"/>
  <c r="Q35" i="12"/>
  <c r="M35" i="12"/>
  <c r="N35" i="12"/>
  <c r="Q34" i="12"/>
  <c r="M34" i="12"/>
  <c r="N34" i="12"/>
  <c r="Q33" i="12"/>
  <c r="M33" i="12"/>
  <c r="N33" i="12"/>
  <c r="Q32" i="12"/>
  <c r="M32" i="12"/>
  <c r="N32" i="12"/>
  <c r="Q31" i="12"/>
  <c r="M31" i="12"/>
  <c r="N31" i="12"/>
  <c r="Q30" i="12"/>
  <c r="M30" i="12"/>
  <c r="N30" i="12"/>
  <c r="Q29" i="12"/>
  <c r="M29" i="12"/>
  <c r="N29" i="12"/>
  <c r="Q28" i="12"/>
  <c r="M28" i="12"/>
  <c r="N28" i="12"/>
  <c r="Q27" i="12"/>
  <c r="M27" i="12"/>
  <c r="N27" i="12"/>
  <c r="Q26" i="12"/>
  <c r="M26" i="12"/>
  <c r="N26" i="12"/>
  <c r="Q25" i="12"/>
  <c r="M25" i="12"/>
  <c r="N25" i="12"/>
  <c r="Q24" i="12"/>
  <c r="M24" i="12"/>
  <c r="N24" i="12"/>
  <c r="Q23" i="12"/>
  <c r="M23" i="12"/>
  <c r="N23" i="12"/>
  <c r="Q22" i="12"/>
  <c r="M22" i="12"/>
  <c r="N22" i="12"/>
  <c r="Q21" i="12"/>
  <c r="M21" i="12"/>
  <c r="N21" i="12"/>
  <c r="Q20" i="12"/>
  <c r="M20" i="12"/>
  <c r="N20" i="12"/>
  <c r="Q19" i="12"/>
  <c r="M19" i="12"/>
  <c r="N19" i="12"/>
  <c r="Q18" i="12"/>
  <c r="M18" i="12"/>
  <c r="N18" i="12"/>
  <c r="Q17" i="12"/>
  <c r="M17" i="12"/>
  <c r="N17" i="12"/>
  <c r="Q16" i="12"/>
  <c r="M16" i="12"/>
  <c r="N16" i="12"/>
  <c r="Q15" i="12"/>
  <c r="M15" i="12"/>
  <c r="N15" i="12"/>
  <c r="Q14" i="12"/>
  <c r="M14" i="12"/>
  <c r="N14" i="12"/>
  <c r="Q13" i="12"/>
  <c r="M13" i="12"/>
  <c r="N13" i="12"/>
  <c r="Q12" i="12"/>
  <c r="M12" i="12"/>
  <c r="N12" i="12"/>
  <c r="Q11" i="12"/>
  <c r="M11" i="12"/>
  <c r="N11" i="12"/>
  <c r="B11" i="12"/>
  <c r="Q10" i="12"/>
  <c r="M10" i="12"/>
  <c r="N10" i="12"/>
  <c r="B10" i="12"/>
  <c r="Q9" i="12"/>
  <c r="M9" i="12"/>
  <c r="N9" i="12"/>
  <c r="Q8" i="12"/>
  <c r="M8" i="12"/>
  <c r="N8" i="12"/>
  <c r="Q7" i="12"/>
  <c r="M7" i="12"/>
  <c r="N7" i="12"/>
  <c r="Q6" i="12"/>
  <c r="M6" i="12"/>
  <c r="N6" i="12"/>
  <c r="Q5" i="12"/>
  <c r="M5" i="12"/>
  <c r="N5" i="12"/>
  <c r="Q4" i="12"/>
  <c r="M4" i="12"/>
  <c r="N4" i="12"/>
  <c r="Q3" i="12"/>
  <c r="S3" i="12"/>
  <c r="R3" i="12"/>
  <c r="P3" i="12"/>
  <c r="M3" i="12"/>
  <c r="N3" i="12"/>
  <c r="Q52" i="11"/>
  <c r="G2" i="11"/>
  <c r="L2" i="11"/>
  <c r="M2" i="11"/>
  <c r="N2" i="11"/>
  <c r="O2" i="11"/>
  <c r="F2" i="11"/>
  <c r="H2" i="11"/>
  <c r="I2" i="11"/>
  <c r="F3" i="11"/>
  <c r="G3" i="11"/>
  <c r="L3" i="11"/>
  <c r="H3" i="11"/>
  <c r="I3" i="11"/>
  <c r="F4" i="11"/>
  <c r="G4" i="11"/>
  <c r="L4" i="11"/>
  <c r="H4" i="11"/>
  <c r="I4" i="11"/>
  <c r="F5" i="11"/>
  <c r="G5" i="11"/>
  <c r="L5" i="11"/>
  <c r="H5" i="11"/>
  <c r="I5" i="11"/>
  <c r="F6" i="11"/>
  <c r="G6" i="11"/>
  <c r="L6" i="11"/>
  <c r="H6" i="11"/>
  <c r="I6" i="11"/>
  <c r="F7" i="11"/>
  <c r="G7" i="11"/>
  <c r="L7" i="11"/>
  <c r="H7" i="11"/>
  <c r="I7" i="11"/>
  <c r="F8" i="11"/>
  <c r="G8" i="11"/>
  <c r="L8" i="11"/>
  <c r="H8" i="11"/>
  <c r="I8" i="11"/>
  <c r="F9" i="11"/>
  <c r="G9" i="11"/>
  <c r="L9" i="11"/>
  <c r="H9" i="11"/>
  <c r="I9" i="11"/>
  <c r="F10" i="11"/>
  <c r="G10" i="11"/>
  <c r="L10" i="11"/>
  <c r="H10" i="11"/>
  <c r="I10" i="11"/>
  <c r="F11" i="11"/>
  <c r="G11" i="11"/>
  <c r="L11" i="11"/>
  <c r="H11" i="11"/>
  <c r="I11" i="11"/>
  <c r="F12" i="11"/>
  <c r="G12" i="11"/>
  <c r="L12" i="11"/>
  <c r="H12" i="11"/>
  <c r="I12" i="11"/>
  <c r="F13" i="11"/>
  <c r="G13" i="11"/>
  <c r="L13" i="11"/>
  <c r="H13" i="11"/>
  <c r="I13" i="11"/>
  <c r="F14" i="11"/>
  <c r="G14" i="11"/>
  <c r="L14" i="11"/>
  <c r="H14" i="11"/>
  <c r="I14" i="11"/>
  <c r="F15" i="11"/>
  <c r="G15" i="11"/>
  <c r="L15" i="11"/>
  <c r="H15" i="11"/>
  <c r="I15" i="11"/>
  <c r="F16" i="11"/>
  <c r="G16" i="11"/>
  <c r="L16" i="11"/>
  <c r="H16" i="11"/>
  <c r="I16" i="11"/>
  <c r="F17" i="11"/>
  <c r="G17" i="11"/>
  <c r="L17" i="11"/>
  <c r="H17" i="11"/>
  <c r="I17" i="11"/>
  <c r="F18" i="11"/>
  <c r="G18" i="11"/>
  <c r="L18" i="11"/>
  <c r="H18" i="11"/>
  <c r="I18" i="11"/>
  <c r="F19" i="11"/>
  <c r="G19" i="11"/>
  <c r="L19" i="11"/>
  <c r="H19" i="11"/>
  <c r="I19" i="11"/>
  <c r="F20" i="11"/>
  <c r="G20" i="11"/>
  <c r="L20" i="11"/>
  <c r="H20" i="11"/>
  <c r="I20" i="11"/>
  <c r="F21" i="11"/>
  <c r="G21" i="11"/>
  <c r="L21" i="11"/>
  <c r="H21" i="11"/>
  <c r="I21" i="11"/>
  <c r="F22" i="11"/>
  <c r="G22" i="11"/>
  <c r="L22" i="11"/>
  <c r="H22" i="11"/>
  <c r="I22" i="11"/>
  <c r="F23" i="11"/>
  <c r="G23" i="11"/>
  <c r="L23" i="11"/>
  <c r="H23" i="11"/>
  <c r="I23" i="11"/>
  <c r="F24" i="11"/>
  <c r="G24" i="11"/>
  <c r="L24" i="11"/>
  <c r="H24" i="11"/>
  <c r="I24" i="11"/>
  <c r="F25" i="11"/>
  <c r="G25" i="11"/>
  <c r="L25" i="11"/>
  <c r="H25" i="11"/>
  <c r="I25" i="11"/>
  <c r="F26" i="11"/>
  <c r="G26" i="11"/>
  <c r="L26" i="11"/>
  <c r="H26" i="11"/>
  <c r="I26" i="11"/>
  <c r="F27" i="11"/>
  <c r="G27" i="11"/>
  <c r="L27" i="11"/>
  <c r="H27" i="11"/>
  <c r="I27" i="11"/>
  <c r="F28" i="11"/>
  <c r="G28" i="11"/>
  <c r="L28" i="11"/>
  <c r="H28" i="11"/>
  <c r="I28" i="11"/>
  <c r="F29" i="11"/>
  <c r="G29" i="11"/>
  <c r="L29" i="11"/>
  <c r="H29" i="11"/>
  <c r="I29" i="11"/>
  <c r="F30" i="11"/>
  <c r="G30" i="11"/>
  <c r="L30" i="11"/>
  <c r="H30" i="11"/>
  <c r="I30" i="11"/>
  <c r="F31" i="11"/>
  <c r="G31" i="11"/>
  <c r="L31" i="11"/>
  <c r="H31" i="11"/>
  <c r="I31" i="11"/>
  <c r="F32" i="11"/>
  <c r="G32" i="11"/>
  <c r="L32" i="11"/>
  <c r="H32" i="11"/>
  <c r="I32" i="11"/>
  <c r="F33" i="11"/>
  <c r="G33" i="11"/>
  <c r="L33" i="11"/>
  <c r="H33" i="11"/>
  <c r="I33" i="11"/>
  <c r="F34" i="11"/>
  <c r="G34" i="11"/>
  <c r="L34" i="11"/>
  <c r="H34" i="11"/>
  <c r="I34" i="11"/>
  <c r="F35" i="11"/>
  <c r="G35" i="11"/>
  <c r="L35" i="11"/>
  <c r="H35" i="11"/>
  <c r="I35" i="11"/>
  <c r="F36" i="11"/>
  <c r="G36" i="11"/>
  <c r="L36" i="11"/>
  <c r="H36" i="11"/>
  <c r="I36" i="11"/>
  <c r="F37" i="11"/>
  <c r="G37" i="11"/>
  <c r="L37" i="11"/>
  <c r="H37" i="11"/>
  <c r="I37" i="11"/>
  <c r="F38" i="11"/>
  <c r="G38" i="11"/>
  <c r="L38" i="11"/>
  <c r="H38" i="11"/>
  <c r="I38" i="11"/>
  <c r="F39" i="11"/>
  <c r="G39" i="11"/>
  <c r="L39" i="11"/>
  <c r="H39" i="11"/>
  <c r="I39" i="11"/>
  <c r="F40" i="11"/>
  <c r="G40" i="11"/>
  <c r="L40" i="11"/>
  <c r="H40" i="11"/>
  <c r="I40" i="11"/>
  <c r="F41" i="11"/>
  <c r="G41" i="11"/>
  <c r="L41" i="11"/>
  <c r="H41" i="11"/>
  <c r="I41" i="11"/>
  <c r="F42" i="11"/>
  <c r="G42" i="11"/>
  <c r="L42" i="11"/>
  <c r="H42" i="11"/>
  <c r="I42" i="11"/>
  <c r="F43" i="11"/>
  <c r="G43" i="11"/>
  <c r="L43" i="11"/>
  <c r="H43" i="11"/>
  <c r="I43" i="11"/>
  <c r="F44" i="11"/>
  <c r="G44" i="11"/>
  <c r="L44" i="11"/>
  <c r="H44" i="11"/>
  <c r="I44" i="11"/>
  <c r="F45" i="11"/>
  <c r="G45" i="11"/>
  <c r="L45" i="11"/>
  <c r="H45" i="11"/>
  <c r="I45" i="11"/>
  <c r="F46" i="11"/>
  <c r="G46" i="11"/>
  <c r="L46" i="11"/>
  <c r="H46" i="11"/>
  <c r="I46" i="11"/>
  <c r="F47" i="11"/>
  <c r="G47" i="11"/>
  <c r="L47" i="11"/>
  <c r="H47" i="11"/>
  <c r="I47" i="11"/>
  <c r="F48" i="11"/>
  <c r="G48" i="11"/>
  <c r="L48" i="11"/>
  <c r="H48" i="11"/>
  <c r="I48" i="11"/>
  <c r="F49" i="11"/>
  <c r="G49" i="11"/>
  <c r="L49" i="11"/>
  <c r="H49" i="11"/>
  <c r="I49" i="11"/>
  <c r="F50" i="11"/>
  <c r="G50" i="11"/>
  <c r="L50" i="11"/>
  <c r="H50" i="11"/>
  <c r="I50" i="11"/>
  <c r="F51" i="11"/>
  <c r="G51" i="11"/>
  <c r="L51" i="11"/>
  <c r="H51" i="11"/>
  <c r="I51" i="11"/>
  <c r="F52" i="11"/>
  <c r="Q51" i="11"/>
  <c r="M51" i="11"/>
  <c r="N51" i="11"/>
  <c r="Q50" i="11"/>
  <c r="M50" i="11"/>
  <c r="N50" i="11"/>
  <c r="Q49" i="11"/>
  <c r="M49" i="11"/>
  <c r="N49" i="11"/>
  <c r="Q48" i="11"/>
  <c r="M48" i="11"/>
  <c r="N48" i="11"/>
  <c r="Q47" i="11"/>
  <c r="M47" i="11"/>
  <c r="N47" i="11"/>
  <c r="Q46" i="11"/>
  <c r="M46" i="11"/>
  <c r="N46" i="11"/>
  <c r="Q45" i="11"/>
  <c r="M45" i="11"/>
  <c r="N45" i="11"/>
  <c r="Q44" i="11"/>
  <c r="M44" i="11"/>
  <c r="N44" i="11"/>
  <c r="Q43" i="11"/>
  <c r="M43" i="11"/>
  <c r="N43" i="11"/>
  <c r="Q42" i="11"/>
  <c r="M42" i="11"/>
  <c r="N42" i="11"/>
  <c r="Q41" i="11"/>
  <c r="M41" i="11"/>
  <c r="N41" i="11"/>
  <c r="Q40" i="11"/>
  <c r="M40" i="11"/>
  <c r="N40" i="11"/>
  <c r="Q39" i="11"/>
  <c r="M39" i="11"/>
  <c r="N39" i="11"/>
  <c r="Q38" i="11"/>
  <c r="M38" i="11"/>
  <c r="N38" i="11"/>
  <c r="Q37" i="11"/>
  <c r="M37" i="11"/>
  <c r="N37" i="11"/>
  <c r="Q36" i="11"/>
  <c r="M36" i="11"/>
  <c r="N36" i="11"/>
  <c r="Q35" i="11"/>
  <c r="M35" i="11"/>
  <c r="N35" i="11"/>
  <c r="Q34" i="11"/>
  <c r="M34" i="11"/>
  <c r="N34" i="11"/>
  <c r="Q33" i="11"/>
  <c r="M33" i="11"/>
  <c r="N33" i="11"/>
  <c r="Q32" i="11"/>
  <c r="M32" i="11"/>
  <c r="N32" i="11"/>
  <c r="Q31" i="11"/>
  <c r="M31" i="11"/>
  <c r="N31" i="11"/>
  <c r="Q30" i="11"/>
  <c r="M30" i="11"/>
  <c r="N30" i="11"/>
  <c r="Q29" i="11"/>
  <c r="M29" i="11"/>
  <c r="N29" i="11"/>
  <c r="Q28" i="11"/>
  <c r="M28" i="11"/>
  <c r="N28" i="11"/>
  <c r="Q27" i="11"/>
  <c r="M27" i="11"/>
  <c r="N27" i="11"/>
  <c r="Q26" i="11"/>
  <c r="M26" i="11"/>
  <c r="N26" i="11"/>
  <c r="Q25" i="11"/>
  <c r="M25" i="11"/>
  <c r="N25" i="11"/>
  <c r="Q24" i="11"/>
  <c r="M24" i="11"/>
  <c r="N24" i="11"/>
  <c r="Q23" i="11"/>
  <c r="M23" i="11"/>
  <c r="N23" i="11"/>
  <c r="Q22" i="11"/>
  <c r="M22" i="11"/>
  <c r="N22" i="11"/>
  <c r="Q21" i="11"/>
  <c r="M21" i="11"/>
  <c r="N21" i="11"/>
  <c r="Q20" i="11"/>
  <c r="M20" i="11"/>
  <c r="N20" i="11"/>
  <c r="Q19" i="11"/>
  <c r="M19" i="11"/>
  <c r="N19" i="11"/>
  <c r="Q18" i="11"/>
  <c r="M18" i="11"/>
  <c r="N18" i="11"/>
  <c r="Q17" i="11"/>
  <c r="M17" i="11"/>
  <c r="N17" i="11"/>
  <c r="Q16" i="11"/>
  <c r="M16" i="11"/>
  <c r="N16" i="11"/>
  <c r="Q15" i="11"/>
  <c r="M15" i="11"/>
  <c r="N15" i="11"/>
  <c r="Q14" i="11"/>
  <c r="M14" i="11"/>
  <c r="N14" i="11"/>
  <c r="Q13" i="11"/>
  <c r="M13" i="11"/>
  <c r="N13" i="11"/>
  <c r="Q12" i="11"/>
  <c r="M12" i="11"/>
  <c r="N12" i="11"/>
  <c r="Q11" i="11"/>
  <c r="M11" i="11"/>
  <c r="N11" i="11"/>
  <c r="B11" i="11"/>
  <c r="Q10" i="11"/>
  <c r="M10" i="11"/>
  <c r="N10" i="11"/>
  <c r="B10" i="11"/>
  <c r="Q9" i="11"/>
  <c r="M9" i="11"/>
  <c r="N9" i="11"/>
  <c r="Q8" i="11"/>
  <c r="M8" i="11"/>
  <c r="N8" i="11"/>
  <c r="Q7" i="11"/>
  <c r="M7" i="11"/>
  <c r="N7" i="11"/>
  <c r="Q6" i="11"/>
  <c r="M6" i="11"/>
  <c r="N6" i="11"/>
  <c r="Q5" i="11"/>
  <c r="M5" i="11"/>
  <c r="N5" i="11"/>
  <c r="Q4" i="11"/>
  <c r="M4" i="11"/>
  <c r="N4" i="11"/>
  <c r="Q3" i="11"/>
  <c r="S3" i="11"/>
  <c r="R3" i="11"/>
  <c r="P3" i="11"/>
  <c r="M3" i="11"/>
  <c r="N3" i="11"/>
  <c r="Q52" i="10"/>
  <c r="G2" i="10"/>
  <c r="L2" i="10"/>
  <c r="M2" i="10"/>
  <c r="N2" i="10"/>
  <c r="O2" i="10"/>
  <c r="F2" i="10"/>
  <c r="H2" i="10"/>
  <c r="I2" i="10"/>
  <c r="F3" i="10"/>
  <c r="G3" i="10"/>
  <c r="L3" i="10"/>
  <c r="H3" i="10"/>
  <c r="I3" i="10"/>
  <c r="F4" i="10"/>
  <c r="G4" i="10"/>
  <c r="L4" i="10"/>
  <c r="H4" i="10"/>
  <c r="I4" i="10"/>
  <c r="F5" i="10"/>
  <c r="G5" i="10"/>
  <c r="L5" i="10"/>
  <c r="H5" i="10"/>
  <c r="I5" i="10"/>
  <c r="F6" i="10"/>
  <c r="G6" i="10"/>
  <c r="L6" i="10"/>
  <c r="H6" i="10"/>
  <c r="I6" i="10"/>
  <c r="F7" i="10"/>
  <c r="G7" i="10"/>
  <c r="L7" i="10"/>
  <c r="H7" i="10"/>
  <c r="I7" i="10"/>
  <c r="F8" i="10"/>
  <c r="G8" i="10"/>
  <c r="L8" i="10"/>
  <c r="H8" i="10"/>
  <c r="I8" i="10"/>
  <c r="F9" i="10"/>
  <c r="G9" i="10"/>
  <c r="L9" i="10"/>
  <c r="H9" i="10"/>
  <c r="I9" i="10"/>
  <c r="F10" i="10"/>
  <c r="G10" i="10"/>
  <c r="L10" i="10"/>
  <c r="H10" i="10"/>
  <c r="I10" i="10"/>
  <c r="F11" i="10"/>
  <c r="G11" i="10"/>
  <c r="L11" i="10"/>
  <c r="H11" i="10"/>
  <c r="I11" i="10"/>
  <c r="F12" i="10"/>
  <c r="G12" i="10"/>
  <c r="L12" i="10"/>
  <c r="H12" i="10"/>
  <c r="I12" i="10"/>
  <c r="F13" i="10"/>
  <c r="G13" i="10"/>
  <c r="L13" i="10"/>
  <c r="H13" i="10"/>
  <c r="I13" i="10"/>
  <c r="F14" i="10"/>
  <c r="G14" i="10"/>
  <c r="L14" i="10"/>
  <c r="H14" i="10"/>
  <c r="I14" i="10"/>
  <c r="F15" i="10"/>
  <c r="G15" i="10"/>
  <c r="L15" i="10"/>
  <c r="H15" i="10"/>
  <c r="I15" i="10"/>
  <c r="F16" i="10"/>
  <c r="G16" i="10"/>
  <c r="L16" i="10"/>
  <c r="H16" i="10"/>
  <c r="I16" i="10"/>
  <c r="F17" i="10"/>
  <c r="G17" i="10"/>
  <c r="L17" i="10"/>
  <c r="H17" i="10"/>
  <c r="I17" i="10"/>
  <c r="F18" i="10"/>
  <c r="G18" i="10"/>
  <c r="L18" i="10"/>
  <c r="H18" i="10"/>
  <c r="I18" i="10"/>
  <c r="F19" i="10"/>
  <c r="G19" i="10"/>
  <c r="L19" i="10"/>
  <c r="H19" i="10"/>
  <c r="I19" i="10"/>
  <c r="F20" i="10"/>
  <c r="G20" i="10"/>
  <c r="L20" i="10"/>
  <c r="H20" i="10"/>
  <c r="I20" i="10"/>
  <c r="F21" i="10"/>
  <c r="G21" i="10"/>
  <c r="L21" i="10"/>
  <c r="H21" i="10"/>
  <c r="I21" i="10"/>
  <c r="F22" i="10"/>
  <c r="G22" i="10"/>
  <c r="L22" i="10"/>
  <c r="H22" i="10"/>
  <c r="I22" i="10"/>
  <c r="F23" i="10"/>
  <c r="G23" i="10"/>
  <c r="L23" i="10"/>
  <c r="H23" i="10"/>
  <c r="I23" i="10"/>
  <c r="F24" i="10"/>
  <c r="G24" i="10"/>
  <c r="L24" i="10"/>
  <c r="H24" i="10"/>
  <c r="I24" i="10"/>
  <c r="F25" i="10"/>
  <c r="G25" i="10"/>
  <c r="L25" i="10"/>
  <c r="H25" i="10"/>
  <c r="I25" i="10"/>
  <c r="F26" i="10"/>
  <c r="G26" i="10"/>
  <c r="L26" i="10"/>
  <c r="H26" i="10"/>
  <c r="I26" i="10"/>
  <c r="F27" i="10"/>
  <c r="G27" i="10"/>
  <c r="L27" i="10"/>
  <c r="H27" i="10"/>
  <c r="I27" i="10"/>
  <c r="F28" i="10"/>
  <c r="G28" i="10"/>
  <c r="L28" i="10"/>
  <c r="H28" i="10"/>
  <c r="I28" i="10"/>
  <c r="F29" i="10"/>
  <c r="G29" i="10"/>
  <c r="L29" i="10"/>
  <c r="H29" i="10"/>
  <c r="I29" i="10"/>
  <c r="F30" i="10"/>
  <c r="G30" i="10"/>
  <c r="L30" i="10"/>
  <c r="H30" i="10"/>
  <c r="I30" i="10"/>
  <c r="F31" i="10"/>
  <c r="G31" i="10"/>
  <c r="L31" i="10"/>
  <c r="H31" i="10"/>
  <c r="I31" i="10"/>
  <c r="F32" i="10"/>
  <c r="G32" i="10"/>
  <c r="L32" i="10"/>
  <c r="H32" i="10"/>
  <c r="I32" i="10"/>
  <c r="F33" i="10"/>
  <c r="G33" i="10"/>
  <c r="L33" i="10"/>
  <c r="H33" i="10"/>
  <c r="I33" i="10"/>
  <c r="F34" i="10"/>
  <c r="G34" i="10"/>
  <c r="L34" i="10"/>
  <c r="H34" i="10"/>
  <c r="I34" i="10"/>
  <c r="F35" i="10"/>
  <c r="G35" i="10"/>
  <c r="L35" i="10"/>
  <c r="H35" i="10"/>
  <c r="I35" i="10"/>
  <c r="F36" i="10"/>
  <c r="G36" i="10"/>
  <c r="L36" i="10"/>
  <c r="H36" i="10"/>
  <c r="I36" i="10"/>
  <c r="F37" i="10"/>
  <c r="G37" i="10"/>
  <c r="L37" i="10"/>
  <c r="H37" i="10"/>
  <c r="I37" i="10"/>
  <c r="F38" i="10"/>
  <c r="G38" i="10"/>
  <c r="L38" i="10"/>
  <c r="H38" i="10"/>
  <c r="I38" i="10"/>
  <c r="F39" i="10"/>
  <c r="G39" i="10"/>
  <c r="L39" i="10"/>
  <c r="H39" i="10"/>
  <c r="I39" i="10"/>
  <c r="F40" i="10"/>
  <c r="G40" i="10"/>
  <c r="L40" i="10"/>
  <c r="H40" i="10"/>
  <c r="I40" i="10"/>
  <c r="F41" i="10"/>
  <c r="G41" i="10"/>
  <c r="L41" i="10"/>
  <c r="H41" i="10"/>
  <c r="I41" i="10"/>
  <c r="F42" i="10"/>
  <c r="G42" i="10"/>
  <c r="L42" i="10"/>
  <c r="H42" i="10"/>
  <c r="I42" i="10"/>
  <c r="F43" i="10"/>
  <c r="G43" i="10"/>
  <c r="L43" i="10"/>
  <c r="H43" i="10"/>
  <c r="I43" i="10"/>
  <c r="F44" i="10"/>
  <c r="G44" i="10"/>
  <c r="L44" i="10"/>
  <c r="H44" i="10"/>
  <c r="I44" i="10"/>
  <c r="F45" i="10"/>
  <c r="G45" i="10"/>
  <c r="L45" i="10"/>
  <c r="H45" i="10"/>
  <c r="I45" i="10"/>
  <c r="F46" i="10"/>
  <c r="G46" i="10"/>
  <c r="L46" i="10"/>
  <c r="H46" i="10"/>
  <c r="I46" i="10"/>
  <c r="F47" i="10"/>
  <c r="G47" i="10"/>
  <c r="L47" i="10"/>
  <c r="H47" i="10"/>
  <c r="I47" i="10"/>
  <c r="F48" i="10"/>
  <c r="G48" i="10"/>
  <c r="L48" i="10"/>
  <c r="H48" i="10"/>
  <c r="I48" i="10"/>
  <c r="F49" i="10"/>
  <c r="G49" i="10"/>
  <c r="L49" i="10"/>
  <c r="H49" i="10"/>
  <c r="I49" i="10"/>
  <c r="F50" i="10"/>
  <c r="G50" i="10"/>
  <c r="L50" i="10"/>
  <c r="H50" i="10"/>
  <c r="I50" i="10"/>
  <c r="F51" i="10"/>
  <c r="G51" i="10"/>
  <c r="L51" i="10"/>
  <c r="H51" i="10"/>
  <c r="I51" i="10"/>
  <c r="F52" i="10"/>
  <c r="Q51" i="10"/>
  <c r="M51" i="10"/>
  <c r="N51" i="10"/>
  <c r="Q50" i="10"/>
  <c r="M50" i="10"/>
  <c r="N50" i="10"/>
  <c r="Q49" i="10"/>
  <c r="M49" i="10"/>
  <c r="N49" i="10"/>
  <c r="Q48" i="10"/>
  <c r="M48" i="10"/>
  <c r="N48" i="10"/>
  <c r="Q47" i="10"/>
  <c r="M47" i="10"/>
  <c r="N47" i="10"/>
  <c r="Q46" i="10"/>
  <c r="M46" i="10"/>
  <c r="N46" i="10"/>
  <c r="Q45" i="10"/>
  <c r="M45" i="10"/>
  <c r="N45" i="10"/>
  <c r="Q44" i="10"/>
  <c r="M44" i="10"/>
  <c r="N44" i="10"/>
  <c r="Q43" i="10"/>
  <c r="M43" i="10"/>
  <c r="N43" i="10"/>
  <c r="Q42" i="10"/>
  <c r="M42" i="10"/>
  <c r="N42" i="10"/>
  <c r="Q41" i="10"/>
  <c r="M41" i="10"/>
  <c r="N41" i="10"/>
  <c r="Q40" i="10"/>
  <c r="M40" i="10"/>
  <c r="N40" i="10"/>
  <c r="Q39" i="10"/>
  <c r="M39" i="10"/>
  <c r="N39" i="10"/>
  <c r="Q38" i="10"/>
  <c r="M38" i="10"/>
  <c r="N38" i="10"/>
  <c r="Q37" i="10"/>
  <c r="M37" i="10"/>
  <c r="N37" i="10"/>
  <c r="Q36" i="10"/>
  <c r="M36" i="10"/>
  <c r="N36" i="10"/>
  <c r="Q35" i="10"/>
  <c r="M35" i="10"/>
  <c r="N35" i="10"/>
  <c r="Q34" i="10"/>
  <c r="M34" i="10"/>
  <c r="N34" i="10"/>
  <c r="Q33" i="10"/>
  <c r="M33" i="10"/>
  <c r="N33" i="10"/>
  <c r="Q32" i="10"/>
  <c r="M32" i="10"/>
  <c r="N32" i="10"/>
  <c r="Q31" i="10"/>
  <c r="M31" i="10"/>
  <c r="N31" i="10"/>
  <c r="Q30" i="10"/>
  <c r="M30" i="10"/>
  <c r="N30" i="10"/>
  <c r="Q29" i="10"/>
  <c r="M29" i="10"/>
  <c r="N29" i="10"/>
  <c r="Q28" i="10"/>
  <c r="M28" i="10"/>
  <c r="N28" i="10"/>
  <c r="Q27" i="10"/>
  <c r="M27" i="10"/>
  <c r="N27" i="10"/>
  <c r="Q26" i="10"/>
  <c r="M26" i="10"/>
  <c r="N26" i="10"/>
  <c r="Q25" i="10"/>
  <c r="M25" i="10"/>
  <c r="N25" i="10"/>
  <c r="Q24" i="10"/>
  <c r="M24" i="10"/>
  <c r="N24" i="10"/>
  <c r="Q23" i="10"/>
  <c r="M23" i="10"/>
  <c r="N23" i="10"/>
  <c r="Q22" i="10"/>
  <c r="M22" i="10"/>
  <c r="N22" i="10"/>
  <c r="Q21" i="10"/>
  <c r="M21" i="10"/>
  <c r="N21" i="10"/>
  <c r="Q20" i="10"/>
  <c r="M20" i="10"/>
  <c r="N20" i="10"/>
  <c r="Q19" i="10"/>
  <c r="M19" i="10"/>
  <c r="N19" i="10"/>
  <c r="Q18" i="10"/>
  <c r="M18" i="10"/>
  <c r="N18" i="10"/>
  <c r="Q17" i="10"/>
  <c r="M17" i="10"/>
  <c r="N17" i="10"/>
  <c r="Q16" i="10"/>
  <c r="M16" i="10"/>
  <c r="N16" i="10"/>
  <c r="Q15" i="10"/>
  <c r="M15" i="10"/>
  <c r="N15" i="10"/>
  <c r="Q14" i="10"/>
  <c r="M14" i="10"/>
  <c r="N14" i="10"/>
  <c r="Q13" i="10"/>
  <c r="M13" i="10"/>
  <c r="N13" i="10"/>
  <c r="Q12" i="10"/>
  <c r="M12" i="10"/>
  <c r="N12" i="10"/>
  <c r="Q11" i="10"/>
  <c r="M11" i="10"/>
  <c r="N11" i="10"/>
  <c r="B11" i="10"/>
  <c r="Q10" i="10"/>
  <c r="M10" i="10"/>
  <c r="N10" i="10"/>
  <c r="B10" i="10"/>
  <c r="Q9" i="10"/>
  <c r="M9" i="10"/>
  <c r="N9" i="10"/>
  <c r="Q8" i="10"/>
  <c r="M8" i="10"/>
  <c r="N8" i="10"/>
  <c r="Q7" i="10"/>
  <c r="M7" i="10"/>
  <c r="N7" i="10"/>
  <c r="Q6" i="10"/>
  <c r="M6" i="10"/>
  <c r="N6" i="10"/>
  <c r="Q5" i="10"/>
  <c r="M5" i="10"/>
  <c r="N5" i="10"/>
  <c r="Q4" i="10"/>
  <c r="M4" i="10"/>
  <c r="N4" i="10"/>
  <c r="Q3" i="10"/>
  <c r="S3" i="10"/>
  <c r="R3" i="10"/>
  <c r="P3" i="10"/>
  <c r="M3" i="10"/>
  <c r="N3" i="10"/>
  <c r="Q52" i="9"/>
  <c r="G2" i="9"/>
  <c r="L2" i="9"/>
  <c r="M2" i="9"/>
  <c r="N2" i="9"/>
  <c r="O2" i="9"/>
  <c r="F2" i="9"/>
  <c r="H2" i="9"/>
  <c r="I2" i="9"/>
  <c r="F3" i="9"/>
  <c r="G3" i="9"/>
  <c r="L3" i="9"/>
  <c r="H3" i="9"/>
  <c r="I3" i="9"/>
  <c r="F4" i="9"/>
  <c r="G4" i="9"/>
  <c r="L4" i="9"/>
  <c r="H4" i="9"/>
  <c r="I4" i="9"/>
  <c r="F5" i="9"/>
  <c r="G5" i="9"/>
  <c r="L5" i="9"/>
  <c r="H5" i="9"/>
  <c r="I5" i="9"/>
  <c r="F6" i="9"/>
  <c r="G6" i="9"/>
  <c r="L6" i="9"/>
  <c r="H6" i="9"/>
  <c r="I6" i="9"/>
  <c r="F7" i="9"/>
  <c r="G7" i="9"/>
  <c r="L7" i="9"/>
  <c r="H7" i="9"/>
  <c r="I7" i="9"/>
  <c r="F8" i="9"/>
  <c r="G8" i="9"/>
  <c r="L8" i="9"/>
  <c r="H8" i="9"/>
  <c r="I8" i="9"/>
  <c r="F9" i="9"/>
  <c r="G9" i="9"/>
  <c r="L9" i="9"/>
  <c r="H9" i="9"/>
  <c r="I9" i="9"/>
  <c r="F10" i="9"/>
  <c r="G10" i="9"/>
  <c r="L10" i="9"/>
  <c r="H10" i="9"/>
  <c r="I10" i="9"/>
  <c r="F11" i="9"/>
  <c r="G11" i="9"/>
  <c r="L11" i="9"/>
  <c r="H11" i="9"/>
  <c r="I11" i="9"/>
  <c r="F12" i="9"/>
  <c r="G12" i="9"/>
  <c r="L12" i="9"/>
  <c r="H12" i="9"/>
  <c r="I12" i="9"/>
  <c r="F13" i="9"/>
  <c r="G13" i="9"/>
  <c r="L13" i="9"/>
  <c r="H13" i="9"/>
  <c r="I13" i="9"/>
  <c r="F14" i="9"/>
  <c r="G14" i="9"/>
  <c r="L14" i="9"/>
  <c r="H14" i="9"/>
  <c r="I14" i="9"/>
  <c r="F15" i="9"/>
  <c r="G15" i="9"/>
  <c r="L15" i="9"/>
  <c r="H15" i="9"/>
  <c r="I15" i="9"/>
  <c r="F16" i="9"/>
  <c r="G16" i="9"/>
  <c r="L16" i="9"/>
  <c r="H16" i="9"/>
  <c r="I16" i="9"/>
  <c r="F17" i="9"/>
  <c r="G17" i="9"/>
  <c r="L17" i="9"/>
  <c r="H17" i="9"/>
  <c r="I17" i="9"/>
  <c r="F18" i="9"/>
  <c r="G18" i="9"/>
  <c r="L18" i="9"/>
  <c r="H18" i="9"/>
  <c r="I18" i="9"/>
  <c r="F19" i="9"/>
  <c r="G19" i="9"/>
  <c r="L19" i="9"/>
  <c r="H19" i="9"/>
  <c r="I19" i="9"/>
  <c r="F20" i="9"/>
  <c r="G20" i="9"/>
  <c r="L20" i="9"/>
  <c r="H20" i="9"/>
  <c r="I20" i="9"/>
  <c r="F21" i="9"/>
  <c r="G21" i="9"/>
  <c r="L21" i="9"/>
  <c r="H21" i="9"/>
  <c r="I21" i="9"/>
  <c r="F22" i="9"/>
  <c r="G22" i="9"/>
  <c r="L22" i="9"/>
  <c r="H22" i="9"/>
  <c r="I22" i="9"/>
  <c r="F23" i="9"/>
  <c r="G23" i="9"/>
  <c r="L23" i="9"/>
  <c r="H23" i="9"/>
  <c r="I23" i="9"/>
  <c r="F24" i="9"/>
  <c r="G24" i="9"/>
  <c r="L24" i="9"/>
  <c r="H24" i="9"/>
  <c r="I24" i="9"/>
  <c r="F25" i="9"/>
  <c r="G25" i="9"/>
  <c r="L25" i="9"/>
  <c r="H25" i="9"/>
  <c r="I25" i="9"/>
  <c r="F26" i="9"/>
  <c r="G26" i="9"/>
  <c r="L26" i="9"/>
  <c r="H26" i="9"/>
  <c r="I26" i="9"/>
  <c r="F27" i="9"/>
  <c r="G27" i="9"/>
  <c r="L27" i="9"/>
  <c r="H27" i="9"/>
  <c r="I27" i="9"/>
  <c r="F28" i="9"/>
  <c r="G28" i="9"/>
  <c r="L28" i="9"/>
  <c r="H28" i="9"/>
  <c r="I28" i="9"/>
  <c r="F29" i="9"/>
  <c r="G29" i="9"/>
  <c r="L29" i="9"/>
  <c r="H29" i="9"/>
  <c r="I29" i="9"/>
  <c r="F30" i="9"/>
  <c r="G30" i="9"/>
  <c r="L30" i="9"/>
  <c r="H30" i="9"/>
  <c r="I30" i="9"/>
  <c r="F31" i="9"/>
  <c r="G31" i="9"/>
  <c r="L31" i="9"/>
  <c r="H31" i="9"/>
  <c r="I31" i="9"/>
  <c r="F32" i="9"/>
  <c r="G32" i="9"/>
  <c r="L32" i="9"/>
  <c r="H32" i="9"/>
  <c r="I32" i="9"/>
  <c r="F33" i="9"/>
  <c r="G33" i="9"/>
  <c r="L33" i="9"/>
  <c r="H33" i="9"/>
  <c r="I33" i="9"/>
  <c r="F34" i="9"/>
  <c r="G34" i="9"/>
  <c r="L34" i="9"/>
  <c r="H34" i="9"/>
  <c r="I34" i="9"/>
  <c r="F35" i="9"/>
  <c r="G35" i="9"/>
  <c r="L35" i="9"/>
  <c r="H35" i="9"/>
  <c r="I35" i="9"/>
  <c r="F36" i="9"/>
  <c r="G36" i="9"/>
  <c r="L36" i="9"/>
  <c r="H36" i="9"/>
  <c r="I36" i="9"/>
  <c r="F37" i="9"/>
  <c r="G37" i="9"/>
  <c r="L37" i="9"/>
  <c r="H37" i="9"/>
  <c r="I37" i="9"/>
  <c r="F38" i="9"/>
  <c r="G38" i="9"/>
  <c r="L38" i="9"/>
  <c r="H38" i="9"/>
  <c r="I38" i="9"/>
  <c r="F39" i="9"/>
  <c r="G39" i="9"/>
  <c r="L39" i="9"/>
  <c r="H39" i="9"/>
  <c r="I39" i="9"/>
  <c r="F40" i="9"/>
  <c r="G40" i="9"/>
  <c r="L40" i="9"/>
  <c r="H40" i="9"/>
  <c r="I40" i="9"/>
  <c r="F41" i="9"/>
  <c r="G41" i="9"/>
  <c r="L41" i="9"/>
  <c r="H41" i="9"/>
  <c r="I41" i="9"/>
  <c r="F42" i="9"/>
  <c r="G42" i="9"/>
  <c r="L42" i="9"/>
  <c r="H42" i="9"/>
  <c r="I42" i="9"/>
  <c r="F43" i="9"/>
  <c r="G43" i="9"/>
  <c r="L43" i="9"/>
  <c r="H43" i="9"/>
  <c r="I43" i="9"/>
  <c r="F44" i="9"/>
  <c r="G44" i="9"/>
  <c r="L44" i="9"/>
  <c r="H44" i="9"/>
  <c r="I44" i="9"/>
  <c r="F45" i="9"/>
  <c r="G45" i="9"/>
  <c r="L45" i="9"/>
  <c r="H45" i="9"/>
  <c r="I45" i="9"/>
  <c r="F46" i="9"/>
  <c r="G46" i="9"/>
  <c r="L46" i="9"/>
  <c r="H46" i="9"/>
  <c r="I46" i="9"/>
  <c r="F47" i="9"/>
  <c r="G47" i="9"/>
  <c r="L47" i="9"/>
  <c r="H47" i="9"/>
  <c r="I47" i="9"/>
  <c r="F48" i="9"/>
  <c r="G48" i="9"/>
  <c r="L48" i="9"/>
  <c r="H48" i="9"/>
  <c r="I48" i="9"/>
  <c r="F49" i="9"/>
  <c r="G49" i="9"/>
  <c r="L49" i="9"/>
  <c r="H49" i="9"/>
  <c r="I49" i="9"/>
  <c r="F50" i="9"/>
  <c r="G50" i="9"/>
  <c r="L50" i="9"/>
  <c r="H50" i="9"/>
  <c r="I50" i="9"/>
  <c r="F51" i="9"/>
  <c r="G51" i="9"/>
  <c r="L51" i="9"/>
  <c r="H51" i="9"/>
  <c r="I51" i="9"/>
  <c r="F52" i="9"/>
  <c r="Q51" i="9"/>
  <c r="M51" i="9"/>
  <c r="N51" i="9"/>
  <c r="Q50" i="9"/>
  <c r="M50" i="9"/>
  <c r="N50" i="9"/>
  <c r="Q49" i="9"/>
  <c r="M49" i="9"/>
  <c r="N49" i="9"/>
  <c r="Q48" i="9"/>
  <c r="M48" i="9"/>
  <c r="N48" i="9"/>
  <c r="Q47" i="9"/>
  <c r="M47" i="9"/>
  <c r="N47" i="9"/>
  <c r="Q46" i="9"/>
  <c r="M46" i="9"/>
  <c r="N46" i="9"/>
  <c r="Q45" i="9"/>
  <c r="M45" i="9"/>
  <c r="N45" i="9"/>
  <c r="Q44" i="9"/>
  <c r="M44" i="9"/>
  <c r="N44" i="9"/>
  <c r="Q43" i="9"/>
  <c r="M43" i="9"/>
  <c r="N43" i="9"/>
  <c r="Q42" i="9"/>
  <c r="M42" i="9"/>
  <c r="N42" i="9"/>
  <c r="Q41" i="9"/>
  <c r="M41" i="9"/>
  <c r="N41" i="9"/>
  <c r="Q40" i="9"/>
  <c r="M40" i="9"/>
  <c r="N40" i="9"/>
  <c r="Q39" i="9"/>
  <c r="M39" i="9"/>
  <c r="N39" i="9"/>
  <c r="Q38" i="9"/>
  <c r="M38" i="9"/>
  <c r="N38" i="9"/>
  <c r="Q37" i="9"/>
  <c r="M37" i="9"/>
  <c r="N37" i="9"/>
  <c r="Q36" i="9"/>
  <c r="M36" i="9"/>
  <c r="N36" i="9"/>
  <c r="Q35" i="9"/>
  <c r="M35" i="9"/>
  <c r="N35" i="9"/>
  <c r="Q34" i="9"/>
  <c r="M34" i="9"/>
  <c r="N34" i="9"/>
  <c r="Q33" i="9"/>
  <c r="M33" i="9"/>
  <c r="N33" i="9"/>
  <c r="Q32" i="9"/>
  <c r="M32" i="9"/>
  <c r="N32" i="9"/>
  <c r="Q31" i="9"/>
  <c r="M31" i="9"/>
  <c r="N31" i="9"/>
  <c r="Q30" i="9"/>
  <c r="M30" i="9"/>
  <c r="N30" i="9"/>
  <c r="Q29" i="9"/>
  <c r="M29" i="9"/>
  <c r="N29" i="9"/>
  <c r="Q28" i="9"/>
  <c r="M28" i="9"/>
  <c r="N28" i="9"/>
  <c r="Q27" i="9"/>
  <c r="M27" i="9"/>
  <c r="N27" i="9"/>
  <c r="Q26" i="9"/>
  <c r="M26" i="9"/>
  <c r="N26" i="9"/>
  <c r="Q25" i="9"/>
  <c r="M25" i="9"/>
  <c r="N25" i="9"/>
  <c r="Q24" i="9"/>
  <c r="M24" i="9"/>
  <c r="N24" i="9"/>
  <c r="Q23" i="9"/>
  <c r="M23" i="9"/>
  <c r="N23" i="9"/>
  <c r="Q22" i="9"/>
  <c r="M22" i="9"/>
  <c r="N22" i="9"/>
  <c r="Q21" i="9"/>
  <c r="M21" i="9"/>
  <c r="N21" i="9"/>
  <c r="Q20" i="9"/>
  <c r="M20" i="9"/>
  <c r="N20" i="9"/>
  <c r="Q19" i="9"/>
  <c r="M19" i="9"/>
  <c r="N19" i="9"/>
  <c r="Q18" i="9"/>
  <c r="M18" i="9"/>
  <c r="N18" i="9"/>
  <c r="Q17" i="9"/>
  <c r="M17" i="9"/>
  <c r="N17" i="9"/>
  <c r="Q16" i="9"/>
  <c r="M16" i="9"/>
  <c r="N16" i="9"/>
  <c r="Q15" i="9"/>
  <c r="M15" i="9"/>
  <c r="N15" i="9"/>
  <c r="Q14" i="9"/>
  <c r="M14" i="9"/>
  <c r="N14" i="9"/>
  <c r="Q13" i="9"/>
  <c r="M13" i="9"/>
  <c r="N13" i="9"/>
  <c r="Q12" i="9"/>
  <c r="M12" i="9"/>
  <c r="N12" i="9"/>
  <c r="Q11" i="9"/>
  <c r="M11" i="9"/>
  <c r="N11" i="9"/>
  <c r="B11" i="9"/>
  <c r="Q10" i="9"/>
  <c r="M10" i="9"/>
  <c r="N10" i="9"/>
  <c r="B10" i="9"/>
  <c r="Q9" i="9"/>
  <c r="M9" i="9"/>
  <c r="N9" i="9"/>
  <c r="Q8" i="9"/>
  <c r="M8" i="9"/>
  <c r="N8" i="9"/>
  <c r="Q7" i="9"/>
  <c r="M7" i="9"/>
  <c r="N7" i="9"/>
  <c r="Q6" i="9"/>
  <c r="M6" i="9"/>
  <c r="N6" i="9"/>
  <c r="Q5" i="9"/>
  <c r="M5" i="9"/>
  <c r="N5" i="9"/>
  <c r="Q4" i="9"/>
  <c r="M4" i="9"/>
  <c r="N4" i="9"/>
  <c r="Q3" i="9"/>
  <c r="S3" i="9"/>
  <c r="R3" i="9"/>
  <c r="P3" i="9"/>
  <c r="M3" i="9"/>
  <c r="N3" i="9"/>
  <c r="M2" i="1"/>
  <c r="N2" i="1"/>
  <c r="B10" i="1"/>
  <c r="F2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M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4" i="1"/>
  <c r="H2" i="1"/>
  <c r="I2" i="1"/>
  <c r="L3" i="1"/>
  <c r="H3" i="1"/>
  <c r="I3" i="1"/>
  <c r="F4" i="1"/>
  <c r="G4" i="1"/>
  <c r="L4" i="1"/>
  <c r="H4" i="1"/>
  <c r="I4" i="1"/>
  <c r="F5" i="1"/>
  <c r="G5" i="1"/>
  <c r="L5" i="1"/>
  <c r="H5" i="1"/>
  <c r="I5" i="1"/>
  <c r="F6" i="1"/>
  <c r="G6" i="1"/>
  <c r="L6" i="1"/>
  <c r="H6" i="1"/>
  <c r="I6" i="1"/>
  <c r="F7" i="1"/>
  <c r="G7" i="1"/>
  <c r="L7" i="1"/>
  <c r="H7" i="1"/>
  <c r="I7" i="1"/>
  <c r="F8" i="1"/>
  <c r="G8" i="1"/>
  <c r="L8" i="1"/>
  <c r="H8" i="1"/>
  <c r="I8" i="1"/>
  <c r="F9" i="1"/>
  <c r="G9" i="1"/>
  <c r="L9" i="1"/>
  <c r="H9" i="1"/>
  <c r="I9" i="1"/>
  <c r="F10" i="1"/>
  <c r="G10" i="1"/>
  <c r="L10" i="1"/>
  <c r="H10" i="1"/>
  <c r="I10" i="1"/>
  <c r="F11" i="1"/>
  <c r="G11" i="1"/>
  <c r="L11" i="1"/>
  <c r="H11" i="1"/>
  <c r="I11" i="1"/>
  <c r="F12" i="1"/>
  <c r="G12" i="1"/>
  <c r="L12" i="1"/>
  <c r="H12" i="1"/>
  <c r="I12" i="1"/>
  <c r="F13" i="1"/>
  <c r="G13" i="1"/>
  <c r="L13" i="1"/>
  <c r="H13" i="1"/>
  <c r="I13" i="1"/>
  <c r="F14" i="1"/>
  <c r="G14" i="1"/>
  <c r="L14" i="1"/>
  <c r="H14" i="1"/>
  <c r="I14" i="1"/>
  <c r="F15" i="1"/>
  <c r="G15" i="1"/>
  <c r="L15" i="1"/>
  <c r="H15" i="1"/>
  <c r="I15" i="1"/>
  <c r="F16" i="1"/>
  <c r="G16" i="1"/>
  <c r="L16" i="1"/>
  <c r="H16" i="1"/>
  <c r="I16" i="1"/>
  <c r="F17" i="1"/>
  <c r="G17" i="1"/>
  <c r="L17" i="1"/>
  <c r="H17" i="1"/>
  <c r="I17" i="1"/>
  <c r="F18" i="1"/>
  <c r="G18" i="1"/>
  <c r="L18" i="1"/>
  <c r="H18" i="1"/>
  <c r="I18" i="1"/>
  <c r="F19" i="1"/>
  <c r="G19" i="1"/>
  <c r="L19" i="1"/>
  <c r="H19" i="1"/>
  <c r="I19" i="1"/>
  <c r="F20" i="1"/>
  <c r="G20" i="1"/>
  <c r="L20" i="1"/>
  <c r="H20" i="1"/>
  <c r="I20" i="1"/>
  <c r="F21" i="1"/>
  <c r="G21" i="1"/>
  <c r="L21" i="1"/>
  <c r="H21" i="1"/>
  <c r="I21" i="1"/>
  <c r="F22" i="1"/>
  <c r="G22" i="1"/>
  <c r="L22" i="1"/>
  <c r="H22" i="1"/>
  <c r="I22" i="1"/>
  <c r="F23" i="1"/>
  <c r="G23" i="1"/>
  <c r="L23" i="1"/>
  <c r="H23" i="1"/>
  <c r="I23" i="1"/>
  <c r="F24" i="1"/>
  <c r="G24" i="1"/>
  <c r="L24" i="1"/>
  <c r="H24" i="1"/>
  <c r="I24" i="1"/>
  <c r="F25" i="1"/>
  <c r="G25" i="1"/>
  <c r="L25" i="1"/>
  <c r="H25" i="1"/>
  <c r="I25" i="1"/>
  <c r="F26" i="1"/>
  <c r="G26" i="1"/>
  <c r="L26" i="1"/>
  <c r="H26" i="1"/>
  <c r="I26" i="1"/>
  <c r="F27" i="1"/>
  <c r="G27" i="1"/>
  <c r="L27" i="1"/>
  <c r="H27" i="1"/>
  <c r="I27" i="1"/>
  <c r="F28" i="1"/>
  <c r="G28" i="1"/>
  <c r="L28" i="1"/>
  <c r="H28" i="1"/>
  <c r="I28" i="1"/>
  <c r="F29" i="1"/>
  <c r="G29" i="1"/>
  <c r="L29" i="1"/>
  <c r="H29" i="1"/>
  <c r="I29" i="1"/>
  <c r="F30" i="1"/>
  <c r="G30" i="1"/>
  <c r="L30" i="1"/>
  <c r="H30" i="1"/>
  <c r="I30" i="1"/>
  <c r="F31" i="1"/>
  <c r="G31" i="1"/>
  <c r="L31" i="1"/>
  <c r="H31" i="1"/>
  <c r="I31" i="1"/>
  <c r="F32" i="1"/>
  <c r="G32" i="1"/>
  <c r="L32" i="1"/>
  <c r="H32" i="1"/>
  <c r="I32" i="1"/>
  <c r="F33" i="1"/>
  <c r="G33" i="1"/>
  <c r="L33" i="1"/>
  <c r="H33" i="1"/>
  <c r="I33" i="1"/>
  <c r="F34" i="1"/>
  <c r="G34" i="1"/>
  <c r="L34" i="1"/>
  <c r="H34" i="1"/>
  <c r="I34" i="1"/>
  <c r="F35" i="1"/>
  <c r="G35" i="1"/>
  <c r="L35" i="1"/>
  <c r="H35" i="1"/>
  <c r="I35" i="1"/>
  <c r="F36" i="1"/>
  <c r="G36" i="1"/>
  <c r="L36" i="1"/>
  <c r="H36" i="1"/>
  <c r="I36" i="1"/>
  <c r="F37" i="1"/>
  <c r="G37" i="1"/>
  <c r="L37" i="1"/>
  <c r="H37" i="1"/>
  <c r="I37" i="1"/>
  <c r="F38" i="1"/>
  <c r="G38" i="1"/>
  <c r="L38" i="1"/>
  <c r="H38" i="1"/>
  <c r="I38" i="1"/>
  <c r="F39" i="1"/>
  <c r="G39" i="1"/>
  <c r="L39" i="1"/>
  <c r="H39" i="1"/>
  <c r="I39" i="1"/>
  <c r="F40" i="1"/>
  <c r="G40" i="1"/>
  <c r="L40" i="1"/>
  <c r="H40" i="1"/>
  <c r="I40" i="1"/>
  <c r="F41" i="1"/>
  <c r="G41" i="1"/>
  <c r="L41" i="1"/>
  <c r="H41" i="1"/>
  <c r="I41" i="1"/>
  <c r="F42" i="1"/>
  <c r="G42" i="1"/>
  <c r="L42" i="1"/>
  <c r="H42" i="1"/>
  <c r="I42" i="1"/>
  <c r="F43" i="1"/>
  <c r="G43" i="1"/>
  <c r="L43" i="1"/>
  <c r="H43" i="1"/>
  <c r="I43" i="1"/>
  <c r="F44" i="1"/>
  <c r="G44" i="1"/>
  <c r="L44" i="1"/>
  <c r="H44" i="1"/>
  <c r="I44" i="1"/>
  <c r="F45" i="1"/>
  <c r="G45" i="1"/>
  <c r="L45" i="1"/>
  <c r="H45" i="1"/>
  <c r="I45" i="1"/>
  <c r="F46" i="1"/>
  <c r="G46" i="1"/>
  <c r="L46" i="1"/>
  <c r="H46" i="1"/>
  <c r="I46" i="1"/>
  <c r="F47" i="1"/>
  <c r="G47" i="1"/>
  <c r="L47" i="1"/>
  <c r="H47" i="1"/>
  <c r="I47" i="1"/>
  <c r="F48" i="1"/>
  <c r="G48" i="1"/>
  <c r="L48" i="1"/>
  <c r="H48" i="1"/>
  <c r="I48" i="1"/>
  <c r="F49" i="1"/>
  <c r="G49" i="1"/>
  <c r="L49" i="1"/>
  <c r="H49" i="1"/>
  <c r="I49" i="1"/>
  <c r="F50" i="1"/>
  <c r="G50" i="1"/>
  <c r="L50" i="1"/>
  <c r="H50" i="1"/>
  <c r="I50" i="1"/>
  <c r="F51" i="1"/>
  <c r="G51" i="1"/>
  <c r="L51" i="1"/>
  <c r="H51" i="1"/>
  <c r="I51" i="1"/>
  <c r="F52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7" i="1"/>
  <c r="Q6" i="1"/>
  <c r="Q5" i="1"/>
  <c r="Q4" i="1"/>
  <c r="Q3" i="1"/>
  <c r="P3" i="1"/>
  <c r="B11" i="1"/>
  <c r="R3" i="1"/>
  <c r="S3" i="1"/>
  <c r="E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A4" authorId="0" shapeId="0" xr:uid="{00000000-0006-0000-0000-000001000000}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 shapeId="0" xr:uid="{00000000-0006-0000-0000-000002000000}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A4" authorId="0" shapeId="0" xr:uid="{911AEA23-38A4-411D-818E-52C7527DEE9F}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 shapeId="0" xr:uid="{4F5FD773-15DA-4A70-80FF-3048D5B7AB9D}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 shapeId="0" xr:uid="{77693F37-134E-4953-BAA1-F161F862CC31}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A4" authorId="0" shapeId="0" xr:uid="{13689878-6F7A-47CA-B7C8-8B5C4AE4177F}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 shapeId="0" xr:uid="{E62523E7-BBCF-4C98-AAA3-500DFAC03822}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 shapeId="0" xr:uid="{BFBD1D27-0C22-4996-AE53-CDAAF9078EEA}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A4" authorId="0" shapeId="0" xr:uid="{EA9E5759-01C8-460D-9FCA-667BB7D37516}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 shapeId="0" xr:uid="{3B2EEE01-34C1-4E45-8D99-B61C8A175832}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 shapeId="0" xr:uid="{F7F6012E-4456-443F-8161-043D15988362}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A4" authorId="0" shapeId="0" xr:uid="{CA99AA24-66EC-46BE-AB15-7633617E2C6E}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 shapeId="0" xr:uid="{D56389F6-C845-4E4C-883F-168BBE009CB3}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 shapeId="0" xr:uid="{2408A34F-8F33-4D6C-941F-FD5A83CC0B52}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sharedStrings.xml><?xml version="1.0" encoding="utf-8"?>
<sst xmlns="http://schemas.openxmlformats.org/spreadsheetml/2006/main" count="177" uniqueCount="67">
  <si>
    <t>Initial Stock Price</t>
  </si>
  <si>
    <t>Expiration</t>
  </si>
  <si>
    <t>Implied Volatility</t>
  </si>
  <si>
    <t>Risk-Free Rate</t>
  </si>
  <si>
    <t>Strike</t>
  </si>
  <si>
    <t>European Call Option Parameters</t>
  </si>
  <si>
    <t>"d_1"</t>
  </si>
  <si>
    <t>Stock Price</t>
  </si>
  <si>
    <t># Stocks held</t>
  </si>
  <si>
    <t>Cash Account $ Position</t>
  </si>
  <si>
    <t>Period</t>
  </si>
  <si>
    <t>"d1"</t>
  </si>
  <si>
    <t>S.F. Portfolio Value</t>
  </si>
  <si>
    <t># of Options</t>
  </si>
  <si>
    <t>Total BS Option Price</t>
  </si>
  <si>
    <t>Total Hedging P&amp;L</t>
  </si>
  <si>
    <t># of Hedging Periods</t>
  </si>
  <si>
    <t>Log-Returns</t>
  </si>
  <si>
    <t>Std Return (Annualized)</t>
  </si>
  <si>
    <t>Avg Return (Annualized)</t>
  </si>
  <si>
    <t>Stock Path # 1</t>
  </si>
  <si>
    <t>Stock Path # 2</t>
  </si>
  <si>
    <t>Stock Path # 3</t>
  </si>
  <si>
    <t>Stock Path # 4</t>
  </si>
  <si>
    <t>Path#1</t>
  </si>
  <si>
    <t>Log Returns #1</t>
  </si>
  <si>
    <t>Stock Value</t>
  </si>
  <si>
    <t>Call delta, N(d1)</t>
  </si>
  <si>
    <t>Time left to epiry, t</t>
  </si>
  <si>
    <t>d2</t>
  </si>
  <si>
    <t>N(d2)</t>
  </si>
  <si>
    <t>Strike (K)</t>
  </si>
  <si>
    <t>Stock Price (S)</t>
  </si>
  <si>
    <t>r</t>
  </si>
  <si>
    <t xml:space="preserve">Volitility </t>
  </si>
  <si>
    <t>Dividend</t>
  </si>
  <si>
    <t xml:space="preserve">Drift </t>
  </si>
  <si>
    <t>d1</t>
  </si>
  <si>
    <t>Gamma</t>
  </si>
  <si>
    <t>Call Delta N(d1)</t>
  </si>
  <si>
    <t>Vega</t>
  </si>
  <si>
    <t>Theta</t>
  </si>
  <si>
    <t>Option Price</t>
  </si>
  <si>
    <t>T</t>
  </si>
  <si>
    <t>PDF(d1)</t>
  </si>
  <si>
    <t>Portfolio Value</t>
  </si>
  <si>
    <t>Change in Port</t>
  </si>
  <si>
    <t>#8</t>
  </si>
  <si>
    <t>#11 Digital K=180</t>
  </si>
  <si>
    <t>#14 Digital K=185</t>
  </si>
  <si>
    <t>Digital Call *Port</t>
  </si>
  <si>
    <t>#7</t>
  </si>
  <si>
    <t>notation</t>
  </si>
  <si>
    <t>#9&amp;10</t>
  </si>
  <si>
    <t>#12</t>
  </si>
  <si>
    <t>D(180,1)</t>
  </si>
  <si>
    <t>D(185,1)</t>
  </si>
  <si>
    <t>#13,14</t>
  </si>
  <si>
    <t>#11</t>
  </si>
  <si>
    <t>Co</t>
  </si>
  <si>
    <t>vega</t>
  </si>
  <si>
    <t>Call Price (BS)</t>
  </si>
  <si>
    <t>vol</t>
  </si>
  <si>
    <t>Put</t>
  </si>
  <si>
    <t xml:space="preserve">Put Delta </t>
  </si>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</sst>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General_)"/>
    <numFmt numFmtId="165" formatCode="0.0%"/>
    <numFmt numFmtId="166" formatCode="0.0000"/>
    <numFmt numFmtId="167" formatCode="0.000"/>
    <numFmt numFmtId="168" formatCode="&quot;$&quot;#,##0;[Red]&quot;$&quot;#,##0"/>
    <numFmt numFmtId="169" formatCode="&quot;$&quot;#,##0.00;[Red]&quot;$&quot;#,##0.00"/>
    <numFmt numFmtId="170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3" fillId="0" borderId="0"/>
  </cellStyleXfs>
  <cellXfs count="58">
    <xf numFmtId="0" fontId="0" fillId="0" borderId="0" xfId="0"/>
    <xf numFmtId="0" fontId="2" fillId="3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164" fontId="2" fillId="3" borderId="5" xfId="2" applyFont="1" applyFill="1" applyBorder="1" applyAlignment="1">
      <alignment horizontal="left"/>
    </xf>
    <xf numFmtId="2" fontId="4" fillId="0" borderId="6" xfId="1" applyNumberFormat="1" applyFont="1" applyBorder="1" applyAlignment="1">
      <alignment horizontal="center"/>
    </xf>
    <xf numFmtId="165" fontId="4" fillId="0" borderId="6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164" fontId="2" fillId="4" borderId="8" xfId="2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/>
    <xf numFmtId="0" fontId="7" fillId="6" borderId="10" xfId="0" applyFont="1" applyFill="1" applyBorder="1"/>
    <xf numFmtId="3" fontId="0" fillId="0" borderId="5" xfId="0" applyNumberFormat="1" applyBorder="1" applyAlignment="1">
      <alignment horizontal="center"/>
    </xf>
    <xf numFmtId="0" fontId="2" fillId="7" borderId="3" xfId="0" applyFont="1" applyFill="1" applyBorder="1" applyAlignment="1">
      <alignment horizontal="left"/>
    </xf>
    <xf numFmtId="167" fontId="0" fillId="0" borderId="0" xfId="0" applyNumberFormat="1" applyAlignment="1">
      <alignment horizontal="center"/>
    </xf>
    <xf numFmtId="0" fontId="6" fillId="5" borderId="1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0" fontId="6" fillId="5" borderId="0" xfId="0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8" borderId="0" xfId="0" applyNumberFormat="1" applyFill="1"/>
    <xf numFmtId="10" fontId="0" fillId="8" borderId="0" xfId="1" applyNumberFormat="1" applyFont="1" applyFill="1"/>
    <xf numFmtId="6" fontId="0" fillId="8" borderId="10" xfId="0" applyNumberFormat="1" applyFill="1" applyBorder="1" applyAlignment="1">
      <alignment horizontal="center"/>
    </xf>
    <xf numFmtId="9" fontId="0" fillId="0" borderId="0" xfId="1" applyFont="1"/>
    <xf numFmtId="10" fontId="0" fillId="0" borderId="0" xfId="1" applyNumberFormat="1" applyFont="1"/>
    <xf numFmtId="10" fontId="0" fillId="8" borderId="0" xfId="0" applyNumberFormat="1" applyFill="1" applyAlignment="1">
      <alignment horizontal="center"/>
    </xf>
    <xf numFmtId="169" fontId="0" fillId="0" borderId="0" xfId="0" applyNumberFormat="1"/>
    <xf numFmtId="168" fontId="0" fillId="8" borderId="0" xfId="0" applyNumberFormat="1" applyFill="1" applyAlignment="1">
      <alignment horizontal="center"/>
    </xf>
    <xf numFmtId="0" fontId="0" fillId="8" borderId="0" xfId="0" applyFill="1"/>
    <xf numFmtId="166" fontId="0" fillId="8" borderId="0" xfId="0" applyNumberFormat="1" applyFill="1" applyAlignment="1">
      <alignment horizontal="center"/>
    </xf>
    <xf numFmtId="3" fontId="0" fillId="8" borderId="0" xfId="0" applyNumberFormat="1" applyFill="1" applyAlignment="1">
      <alignment horizontal="center"/>
    </xf>
    <xf numFmtId="168" fontId="0" fillId="8" borderId="9" xfId="0" applyNumberFormat="1" applyFill="1" applyBorder="1" applyAlignment="1">
      <alignment horizontal="center"/>
    </xf>
    <xf numFmtId="16" fontId="0" fillId="0" borderId="0" xfId="0" applyNumberFormat="1"/>
    <xf numFmtId="0" fontId="0" fillId="9" borderId="0" xfId="0" applyFill="1"/>
    <xf numFmtId="0" fontId="0" fillId="10" borderId="0" xfId="0" applyFill="1"/>
    <xf numFmtId="9" fontId="0" fillId="10" borderId="0" xfId="1" applyFont="1" applyFill="1"/>
    <xf numFmtId="2" fontId="0" fillId="9" borderId="0" xfId="1" applyNumberFormat="1" applyFont="1" applyFill="1"/>
    <xf numFmtId="9" fontId="8" fillId="11" borderId="0" xfId="1" applyFont="1" applyFill="1"/>
    <xf numFmtId="0" fontId="0" fillId="11" borderId="0" xfId="0" applyFill="1"/>
    <xf numFmtId="0" fontId="0" fillId="12" borderId="0" xfId="0" applyFill="1"/>
    <xf numFmtId="0" fontId="0" fillId="0" borderId="13" xfId="0" applyBorder="1"/>
    <xf numFmtId="170" fontId="0" fillId="0" borderId="0" xfId="0" applyNumberFormat="1"/>
    <xf numFmtId="170" fontId="0" fillId="9" borderId="13" xfId="1" applyNumberFormat="1" applyFont="1" applyFill="1" applyBorder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_Call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B00D-6096-46B9-A506-64474DBB6234}">
  <dimension ref="A1:S15"/>
  <sheetViews>
    <sheetView workbookViewId="0">
      <selection activeCell="K11" sqref="K11"/>
    </sheetView>
  </sheetViews>
  <sheetFormatPr defaultRowHeight="15" x14ac:dyDescent="0.25"/>
  <cols>
    <col min="3" max="3" width="16.28515625" customWidth="1"/>
    <col min="4" max="4" width="5.85546875" customWidth="1"/>
    <col min="6" max="6" width="13.42578125" customWidth="1"/>
    <col min="8" max="8" width="15.140625" customWidth="1"/>
    <col min="10" max="14" width="20.28515625" customWidth="1"/>
    <col min="15" max="15" width="9.7109375" customWidth="1"/>
    <col min="18" max="18" width="13.7109375" customWidth="1"/>
    <col min="19" max="19" width="14.140625" customWidth="1"/>
  </cols>
  <sheetData>
    <row r="1" spans="1:19" x14ac:dyDescent="0.2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43</v>
      </c>
      <c r="I1" t="s">
        <v>37</v>
      </c>
      <c r="J1" t="s">
        <v>39</v>
      </c>
      <c r="K1" t="s">
        <v>29</v>
      </c>
      <c r="L1" t="s">
        <v>30</v>
      </c>
      <c r="M1" t="s">
        <v>42</v>
      </c>
      <c r="N1" t="s">
        <v>44</v>
      </c>
      <c r="O1" t="s">
        <v>38</v>
      </c>
      <c r="P1" t="s">
        <v>40</v>
      </c>
      <c r="Q1" t="s">
        <v>41</v>
      </c>
      <c r="R1" t="s">
        <v>45</v>
      </c>
      <c r="S1" t="s">
        <v>46</v>
      </c>
    </row>
    <row r="2" spans="1:19" x14ac:dyDescent="0.25">
      <c r="A2" s="42">
        <v>44993</v>
      </c>
      <c r="B2" s="44">
        <v>180</v>
      </c>
      <c r="C2" s="44">
        <v>171.01</v>
      </c>
      <c r="D2" s="45">
        <v>0.03</v>
      </c>
      <c r="E2" s="47">
        <f>MIN(1,18*B2^(-1))</f>
        <v>0.1</v>
      </c>
      <c r="F2" s="44">
        <v>0</v>
      </c>
      <c r="G2" s="33">
        <v>0.05</v>
      </c>
      <c r="H2" s="46">
        <f>1</f>
        <v>1</v>
      </c>
      <c r="I2" s="44">
        <f>((LN(C2/B2)+((D2+(E2^2)/2)*H2))/(E2*SQRT(H2)))</f>
        <v>-0.16234816565247978</v>
      </c>
      <c r="J2" s="44">
        <f>_xlfn.NORM.DIST(I2,0,1,TRUE)</f>
        <v>0.43551584351776396</v>
      </c>
      <c r="K2" s="44">
        <f>I2-(E2*SQRT(H2))</f>
        <v>-0.26234816565247976</v>
      </c>
      <c r="L2" s="44">
        <f>_xlfn.NORM.DIST(K2,0,1,TRUE)</f>
        <v>0.39652651559324181</v>
      </c>
      <c r="M2" s="44">
        <f>(C2*J2)-B2*EXP(-D2)*L2</f>
        <v>5.2122349215902091</v>
      </c>
      <c r="N2" s="44">
        <f>_xlfn.NORM.DIST(I2,0,1,FALSE)</f>
        <v>0.39371932499562867</v>
      </c>
      <c r="O2" s="44">
        <f>N2/(E2*C2*SQRT(H2))</f>
        <v>2.3023175545034132E-2</v>
      </c>
      <c r="P2" s="44">
        <f>C2*SQRT(H2)*N2</f>
        <v>67.329941767502461</v>
      </c>
      <c r="Q2" s="44">
        <f>(-C2*N2*(E2/(2*SQRT(H2))))-(D2*B2*EXP(-D2*H2)*L2)</f>
        <v>-5.4444569727266003</v>
      </c>
      <c r="R2" s="48">
        <f>(M2-(J2*C2))</f>
        <v>-69.265329478382597</v>
      </c>
    </row>
    <row r="3" spans="1:19" x14ac:dyDescent="0.25">
      <c r="A3" s="42"/>
      <c r="B3" s="44">
        <v>185</v>
      </c>
      <c r="C3" s="44">
        <v>171.01</v>
      </c>
      <c r="D3" s="45">
        <v>0.03</v>
      </c>
      <c r="E3" s="47">
        <f>MIN(1,18*B3^(-1))</f>
        <v>9.7297297297297303E-2</v>
      </c>
      <c r="F3" s="44">
        <v>0</v>
      </c>
      <c r="G3" s="33">
        <v>0.05</v>
      </c>
      <c r="H3" s="46">
        <f>1</f>
        <v>1</v>
      </c>
      <c r="I3" s="44">
        <f>((LN(C3/B3)+((D3+(E3^2)/2)*H3))/(E3*SQRT(H3)))</f>
        <v>-0.45119864520535446</v>
      </c>
      <c r="J3" s="44">
        <f>_xlfn.NORM.DIST(I3,0,1,TRUE)</f>
        <v>0.3259231930025781</v>
      </c>
      <c r="K3" s="44">
        <f>I3-(E3*SQRT(H3))</f>
        <v>-0.54849594250265177</v>
      </c>
      <c r="L3" s="44">
        <f>_xlfn.NORM.DIST(K3,0,1,TRUE)</f>
        <v>0.29167570727494785</v>
      </c>
      <c r="M3" s="44">
        <f>(C3*J3)-B3*EXP(-D3)*L3</f>
        <v>3.3708785719994552</v>
      </c>
      <c r="N3">
        <f>_xlfn.NORM.DIST(I3,0,1,FALSE)</f>
        <v>0.36033229128283484</v>
      </c>
      <c r="O3">
        <f>N3/(E3*C3*SQRT(H3))</f>
        <v>2.1656132483261033E-2</v>
      </c>
      <c r="P3">
        <f>C3*SQRT(H3)*N3</f>
        <v>61.620425132277582</v>
      </c>
      <c r="Q3">
        <f>(-C3*N3*(E3/(2*SQRT(H3))))-(D3*B3*EXP(-D3*H3)*L3)</f>
        <v>-4.5687078117416737</v>
      </c>
      <c r="R3" s="48">
        <f>(M3-(J3*C3))</f>
        <v>-52.365246663371423</v>
      </c>
    </row>
    <row r="4" spans="1:19" x14ac:dyDescent="0.25">
      <c r="A4" s="42">
        <v>45024</v>
      </c>
      <c r="B4" s="38">
        <v>180</v>
      </c>
      <c r="C4" s="38">
        <v>180.2</v>
      </c>
      <c r="D4" s="33">
        <v>0.03</v>
      </c>
      <c r="E4" s="47">
        <f>0.1</f>
        <v>0.1</v>
      </c>
      <c r="F4">
        <v>0</v>
      </c>
      <c r="G4" s="33">
        <v>0.05</v>
      </c>
      <c r="H4" s="43">
        <f>1-(1/12)</f>
        <v>0.91666666666666663</v>
      </c>
      <c r="I4" s="43">
        <f>((LN(C4/B4)+((D4+(E4^2)/2)*H4))/(E4*SQRT(H4)))</f>
        <v>0.34669822222965679</v>
      </c>
      <c r="J4" s="49">
        <f>_xlfn.NORM.DIST(I4,0,1,TRUE)</f>
        <v>0.63559097703188461</v>
      </c>
      <c r="K4" s="44">
        <f>I4-(E4*SQRT(H4))</f>
        <v>0.25095551145402295</v>
      </c>
      <c r="L4" s="44">
        <f>_xlfn.NORM.DIST(K4,0,1,TRUE)</f>
        <v>0.59907574731613522</v>
      </c>
      <c r="M4" s="44">
        <f>((C4*J4)-B4*EXP(-D4*H4)*L4)</f>
        <v>9.6248811119271096</v>
      </c>
      <c r="N4">
        <f>_xlfn.NORM.DIST(I4,0,1,FALSE)</f>
        <v>0.37567218591066337</v>
      </c>
      <c r="O4">
        <f>N4/(E4*C4*SQRT(H4))</f>
        <v>2.1774517268950529E-2</v>
      </c>
      <c r="P4">
        <f>C4*SQRT(H4)*N4</f>
        <v>64.814107942654786</v>
      </c>
      <c r="Q4">
        <f>(-C4*N4*(E4/(2*SQRT(H4))))-(D4*B4*EXP(-D4*H4)*L4)</f>
        <v>-6.6825733671668157</v>
      </c>
      <c r="R4" s="48">
        <f>(M4-(J4*C4))</f>
        <v>-104.90861294921849</v>
      </c>
      <c r="S4">
        <f>R4-R2</f>
        <v>-35.643283470835897</v>
      </c>
    </row>
    <row r="7" spans="1:19" x14ac:dyDescent="0.25">
      <c r="E7" t="s">
        <v>51</v>
      </c>
      <c r="F7" t="s">
        <v>47</v>
      </c>
      <c r="G7" t="s">
        <v>53</v>
      </c>
    </row>
    <row r="8" spans="1:19" x14ac:dyDescent="0.25">
      <c r="E8" s="49">
        <f>C4*J4</f>
        <v>114.5334940611456</v>
      </c>
      <c r="F8" s="44">
        <f>(J2-J4)*C4</f>
        <v>-36.053539059244542</v>
      </c>
      <c r="G8" s="50">
        <f>M2-M3</f>
        <v>1.8413563495907539</v>
      </c>
      <c r="I8" t="s">
        <v>48</v>
      </c>
      <c r="K8" t="s">
        <v>54</v>
      </c>
      <c r="L8" t="s">
        <v>49</v>
      </c>
    </row>
    <row r="9" spans="1:19" x14ac:dyDescent="0.25">
      <c r="H9" t="s">
        <v>52</v>
      </c>
      <c r="I9" s="38">
        <f>_xlfn.NORM.DIST(-E2/2,0,1,TRUE)*(EXP(-D2)*L2)</f>
        <v>0.18473109324106071</v>
      </c>
      <c r="K9">
        <f>I10*C3</f>
        <v>31.590864255153789</v>
      </c>
      <c r="L9" s="48">
        <f>(I9)-((C3*_xlfn.NORM.DIST(E3/2,0,1,FALSE))*((-18*(B3^-1))/5))</f>
        <v>1.5107460562180286</v>
      </c>
    </row>
    <row r="10" spans="1:19" x14ac:dyDescent="0.25">
      <c r="H10" t="s">
        <v>55</v>
      </c>
      <c r="I10" s="52">
        <f>_xlfn.NORM.DIST(-E2/2,0,1,TRUE)*(EXP(-D2)*L2)</f>
        <v>0.18473109324106071</v>
      </c>
      <c r="J10" s="53">
        <f>(EXP(-D2)*L2)</f>
        <v>0.38480738599101438</v>
      </c>
      <c r="L10" s="48">
        <f>L9*R3</f>
        <v>-79.110589879572657</v>
      </c>
      <c r="M10" t="s">
        <v>50</v>
      </c>
    </row>
    <row r="11" spans="1:19" x14ac:dyDescent="0.25">
      <c r="H11" t="s">
        <v>56</v>
      </c>
      <c r="I11" s="52">
        <f>_xlfn.NORM.DIST(-E3/2,0,1,TRUE)*(EXP(-D3)*L3)</f>
        <v>0.13603632007506039</v>
      </c>
      <c r="J11" s="53">
        <f>(EXP(-D3)*L3)</f>
        <v>0.28305538736957525</v>
      </c>
    </row>
    <row r="12" spans="1:19" x14ac:dyDescent="0.25">
      <c r="H12" t="s">
        <v>57</v>
      </c>
      <c r="I12" s="51">
        <f>I10-I11</f>
        <v>4.8694773166000321E-2</v>
      </c>
      <c r="J12" s="53">
        <f>J10-J11</f>
        <v>0.10175199862143913</v>
      </c>
    </row>
    <row r="14" spans="1:19" x14ac:dyDescent="0.25">
      <c r="J14" t="s">
        <v>54</v>
      </c>
    </row>
    <row r="15" spans="1:19" x14ac:dyDescent="0.25">
      <c r="H15" t="s">
        <v>58</v>
      </c>
      <c r="I15">
        <f>J10*C2</f>
        <v>65.805911078323362</v>
      </c>
      <c r="J15" s="51">
        <f>I10-I11</f>
        <v>4.8694773166000321E-2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3F4D-0751-418E-81FC-15CF34CA0E3F}">
  <dimension ref="A1:N4"/>
  <sheetViews>
    <sheetView workbookViewId="0">
      <selection activeCell="D9" sqref="D9"/>
    </sheetView>
  </sheetViews>
  <sheetFormatPr defaultRowHeight="15" x14ac:dyDescent="0.25"/>
  <cols>
    <col min="1" max="1" width="17.7109375" customWidth="1"/>
    <col min="11" max="11" width="16.7109375" customWidth="1"/>
    <col min="12" max="12" width="14.7109375" customWidth="1"/>
  </cols>
  <sheetData>
    <row r="1" spans="1:14" x14ac:dyDescent="0.25">
      <c r="A1" t="s">
        <v>32</v>
      </c>
      <c r="B1" t="s">
        <v>31</v>
      </c>
      <c r="C1" t="s">
        <v>65</v>
      </c>
      <c r="D1" t="s">
        <v>43</v>
      </c>
      <c r="E1" t="s">
        <v>66</v>
      </c>
      <c r="F1" t="s">
        <v>33</v>
      </c>
      <c r="G1" t="s">
        <v>59</v>
      </c>
      <c r="H1" s="55" t="s">
        <v>62</v>
      </c>
      <c r="I1" s="54" t="s">
        <v>37</v>
      </c>
      <c r="J1" s="54" t="s">
        <v>29</v>
      </c>
      <c r="K1" s="54" t="s">
        <v>60</v>
      </c>
      <c r="L1" s="54" t="s">
        <v>61</v>
      </c>
      <c r="M1" s="54" t="s">
        <v>63</v>
      </c>
      <c r="N1" s="54" t="s">
        <v>64</v>
      </c>
    </row>
    <row r="2" spans="1:14" x14ac:dyDescent="0.25">
      <c r="A2">
        <v>190.3</v>
      </c>
      <c r="B2">
        <v>190</v>
      </c>
      <c r="C2">
        <f>1</f>
        <v>1</v>
      </c>
      <c r="D2">
        <f>151/365</f>
        <v>0.41369863013698632</v>
      </c>
      <c r="E2">
        <v>5.0000000000000001E-3</v>
      </c>
      <c r="F2">
        <v>2.4500000000000001E-2</v>
      </c>
      <c r="G2">
        <v>10.875</v>
      </c>
      <c r="H2">
        <v>0.1592368535945507</v>
      </c>
      <c r="I2">
        <f xml:space="preserve"> (LN(A2/B2)+(F2-E2+H2^2/2)*C2)/(H2*SQRT(C2))</f>
        <v>0.21198541136032023</v>
      </c>
      <c r="J2">
        <f>I2-(H2*SQRT(C2))</f>
        <v>5.2748557765769533E-2</v>
      </c>
      <c r="K2">
        <f>A2*SQRT(C2)*_xlfn.NORM.DIST(I2,0,1,FALSE)</f>
        <v>74.231926490443726</v>
      </c>
      <c r="L2">
        <f>_xlfn.NORM.DIST(I2,0,1,TRUE)*A2-B2*EXP(-F2*1)*_xlfn.NORM.DIST(J2,0,1,TRUE)</f>
        <v>14.523438978796335</v>
      </c>
      <c r="M2">
        <f>L2+B2*EXP(-F2*C2)-A2</f>
        <v>9.6249998732937456</v>
      </c>
    </row>
    <row r="3" spans="1:14" x14ac:dyDescent="0.25">
      <c r="A3">
        <v>100</v>
      </c>
      <c r="B3">
        <v>90</v>
      </c>
      <c r="D3">
        <v>1</v>
      </c>
      <c r="F3">
        <v>0.05</v>
      </c>
      <c r="G3">
        <v>16.699400000000001</v>
      </c>
      <c r="H3">
        <v>0.19999791658918914</v>
      </c>
      <c r="I3">
        <f xml:space="preserve"> (LN(A3/B3)+(F3+H3^2/2)*D3)/(H3*SQRT(D3))</f>
        <v>0.87680962866246959</v>
      </c>
      <c r="J3">
        <f>I3-(H3*SQRT(D3))</f>
        <v>0.67681171207328039</v>
      </c>
      <c r="K3">
        <f>A3*SQRT(D3)*_xlfn.NORM.DIST(I3,0,1,FALSE)</f>
        <v>27.162411579232764</v>
      </c>
      <c r="L3">
        <f>_xlfn.NORM.DIST(I3,0,1,TRUE)*A3-B3*EXP(-F3*1)*_xlfn.NORM.DIST(J3,0,1,TRUE)</f>
        <v>16.699391817779158</v>
      </c>
      <c r="M3">
        <f t="shared" ref="M3" si="0">L3+B3*EXP(-F3*D3)-A3</f>
        <v>2.3100400228434239</v>
      </c>
    </row>
    <row r="4" spans="1:14" x14ac:dyDescent="0.25">
      <c r="A4">
        <v>100</v>
      </c>
      <c r="B4">
        <v>90</v>
      </c>
      <c r="D4">
        <v>1</v>
      </c>
      <c r="F4">
        <v>0.05</v>
      </c>
      <c r="H4">
        <f>0.3*EXP(-2*(B4/100-1))</f>
        <v>0.36642082744805093</v>
      </c>
      <c r="I4">
        <f xml:space="preserve"> (LN(A4/B4)+(F4+H4^2/2)*D4)/(H4*SQRT(D4))</f>
        <v>0.60720518700107806</v>
      </c>
      <c r="J4">
        <f>I4-(H4*SQRT(D4))</f>
        <v>0.24078435955302713</v>
      </c>
      <c r="K4">
        <f>A4*SQRT(D4)*_xlfn.NORM.DIST(I4,0,1,FALSE)</f>
        <v>33.177853272372182</v>
      </c>
      <c r="L4">
        <f>_xlfn.NORM.DIST(I4,0,1,TRUE)*A4-B4*EXP(-F4*1)*_xlfn.NORM.DIST(J4,0,1,TRUE)</f>
        <v>21.864037719168614</v>
      </c>
      <c r="M4">
        <f>L4+B4*EXP(-F4*D4)-A4</f>
        <v>7.4746859242328867</v>
      </c>
      <c r="N4">
        <f>_xlfn.NORM.DIST(I4,0,1, TRUE)-1</f>
        <v>-0.27185737518751596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showGridLines="0" tabSelected="1" zoomScale="90" zoomScaleNormal="90" workbookViewId="0">
      <pane ySplit="11" topLeftCell="A12" activePane="bottomLeft" state="frozen"/>
      <selection pane="bottomLeft" activeCell="I2" sqref="I2"/>
    </sheetView>
  </sheetViews>
  <sheetFormatPr defaultRowHeight="15" x14ac:dyDescent="0.25"/>
  <cols>
    <col min="1" max="1" width="20.85546875" bestFit="1" customWidth="1"/>
    <col min="2" max="2" width="14.42578125" customWidth="1"/>
    <col min="5" max="5" width="10.5703125" bestFit="1" customWidth="1"/>
    <col min="6" max="6" width="14.5703125" bestFit="1" customWidth="1"/>
    <col min="7" max="7" width="27" customWidth="1"/>
    <col min="8" max="8" width="12.5703125" bestFit="1" customWidth="1"/>
    <col min="9" max="9" width="22.28515625" bestFit="1" customWidth="1"/>
    <col min="10" max="10" width="12" bestFit="1" customWidth="1"/>
    <col min="11" max="11" width="16.85546875" customWidth="1"/>
    <col min="12" max="12" width="12.42578125" customWidth="1"/>
    <col min="16" max="16" width="10.85546875" customWidth="1"/>
    <col min="18" max="18" width="18.42578125" bestFit="1" customWidth="1"/>
    <col min="19" max="19" width="18" bestFit="1" customWidth="1"/>
  </cols>
  <sheetData>
    <row r="1" spans="1:19" ht="15.75" thickBot="1" x14ac:dyDescent="0.3">
      <c r="A1" s="56" t="s">
        <v>5</v>
      </c>
      <c r="B1" s="57"/>
      <c r="D1" s="14" t="s">
        <v>10</v>
      </c>
      <c r="E1" s="15" t="s">
        <v>7</v>
      </c>
      <c r="F1" s="15" t="s">
        <v>12</v>
      </c>
      <c r="G1" s="15" t="s">
        <v>11</v>
      </c>
      <c r="H1" s="15" t="s">
        <v>8</v>
      </c>
      <c r="I1" s="16" t="s">
        <v>9</v>
      </c>
      <c r="K1" s="28" t="s">
        <v>28</v>
      </c>
      <c r="L1" s="28" t="s">
        <v>27</v>
      </c>
      <c r="M1" s="28" t="s">
        <v>29</v>
      </c>
      <c r="N1" s="28" t="s">
        <v>30</v>
      </c>
      <c r="O1" s="28" t="s">
        <v>26</v>
      </c>
      <c r="R1" s="14" t="s">
        <v>19</v>
      </c>
      <c r="S1" s="24" t="s">
        <v>18</v>
      </c>
    </row>
    <row r="2" spans="1:19" ht="15.75" thickBot="1" x14ac:dyDescent="0.3">
      <c r="A2" s="1" t="s">
        <v>0</v>
      </c>
      <c r="B2" s="2">
        <v>50</v>
      </c>
      <c r="D2" s="13">
        <v>0</v>
      </c>
      <c r="E2" s="18">
        <v>50</v>
      </c>
      <c r="F2" s="37">
        <f>O2*100000</f>
        <v>310815.12162064441</v>
      </c>
      <c r="G2" s="39">
        <f>((0.02+(0.3^2)/2)*0.25)/(0.3*SQRT(0.25))</f>
        <v>0.10833333333333334</v>
      </c>
      <c r="H2" s="40">
        <f>L2*100000</f>
        <v>54313.435898599892</v>
      </c>
      <c r="I2" s="40">
        <f>F2-(H2*E2)</f>
        <v>-2404856.6733093504</v>
      </c>
      <c r="K2" s="38">
        <v>0.25</v>
      </c>
      <c r="L2" s="38">
        <f>_xlfn.NORM.DIST(G2,0,1,TRUE)</f>
        <v>0.54313435898599893</v>
      </c>
      <c r="M2">
        <f>G2-(0.3*SQRT(K2))</f>
        <v>-4.1666666666666657E-2</v>
      </c>
      <c r="N2">
        <f>_xlfn.NORM.DIST(M2,0,1,TRUE)</f>
        <v>0.48338221350963662</v>
      </c>
      <c r="O2" s="38">
        <f>(E2*L2)-50*EXP(-0.02*K2)*N2</f>
        <v>3.1081512162064442</v>
      </c>
      <c r="Q2" s="14" t="s">
        <v>17</v>
      </c>
      <c r="R2" s="25">
        <v>0.33794342711050412</v>
      </c>
      <c r="S2" s="26">
        <v>0.24901388231924659</v>
      </c>
    </row>
    <row r="3" spans="1:19" x14ac:dyDescent="0.25">
      <c r="A3" s="3" t="s">
        <v>1</v>
      </c>
      <c r="B3" s="4">
        <v>0.25</v>
      </c>
      <c r="D3" s="13">
        <v>1</v>
      </c>
      <c r="E3" s="18">
        <v>49.50722616378409</v>
      </c>
      <c r="F3" s="37">
        <f>F2+H2*(E3-E2)+I2*(EXP(0.02*1/200)-1)</f>
        <v>283810.38376280922</v>
      </c>
      <c r="G3" s="39">
        <f>((LN(E3/50)+((0.02+(0.3^2)/2)*K3))/(0.3*SQRT(K3)))</f>
        <v>4.0545075867016868E-2</v>
      </c>
      <c r="H3" s="40">
        <f>L3*100000</f>
        <v>51617.071438930681</v>
      </c>
      <c r="I3" s="40">
        <f t="shared" ref="I3:I51" si="0">F3-(H3*E3)</f>
        <v>-2271607.6458765324</v>
      </c>
      <c r="J3" s="36"/>
      <c r="K3" s="38">
        <v>0.245</v>
      </c>
      <c r="L3" s="38">
        <f>_xlfn.NORM.DIST(G3,0,1,TRUE)</f>
        <v>0.51617071438930684</v>
      </c>
      <c r="M3">
        <f>G3-(0.3*SQRT(K3))</f>
        <v>-0.10794734818215812</v>
      </c>
      <c r="N3">
        <f t="shared" ref="N3:N51" si="1">_xlfn.NORM.DIST(M3,0,1,TRUE)</f>
        <v>0.45701872905607416</v>
      </c>
      <c r="O3" s="38"/>
      <c r="P3" s="34">
        <f>LN(E3)-LN(E2)</f>
        <v>-9.9043634012487836E-3</v>
      </c>
      <c r="Q3" s="35">
        <f>LN(E3)-LN(E2)</f>
        <v>-9.9043634012487836E-3</v>
      </c>
      <c r="R3" s="30">
        <f>(AVERAGE(Q3:Q52))*200</f>
        <v>0.3379434271105044</v>
      </c>
      <c r="S3" s="31">
        <f>(STDEVA(Q3:Q52))*(SQRT(50*4))</f>
        <v>0.24901388231924676</v>
      </c>
    </row>
    <row r="4" spans="1:19" x14ac:dyDescent="0.25">
      <c r="A4" s="3" t="s">
        <v>2</v>
      </c>
      <c r="B4" s="5">
        <v>0.3</v>
      </c>
      <c r="D4" s="13">
        <v>2</v>
      </c>
      <c r="E4" s="18">
        <v>48.005820625822395</v>
      </c>
      <c r="F4" s="37">
        <f>F3+H3*(E4-E3)+I3*(EXP(0.02*1/200)-1)</f>
        <v>206085.05472802967</v>
      </c>
      <c r="G4" s="39">
        <f t="shared" ref="G4:G8" si="2">((LN(E4/50)+((0.02+(0.3^2)/2)*K4))/(0.3*SQRT(K4)))</f>
        <v>-0.17078889530639088</v>
      </c>
      <c r="H4" s="40">
        <f>L4*100000</f>
        <v>43219.488052256107</v>
      </c>
      <c r="I4" s="40">
        <f t="shared" si="0"/>
        <v>-1868701.936248451</v>
      </c>
      <c r="J4" s="36"/>
      <c r="K4" s="38">
        <v>0.24</v>
      </c>
      <c r="L4" s="38">
        <f>_xlfn.NORM.DIST(G4,0,1,TRUE)</f>
        <v>0.43219488052256105</v>
      </c>
      <c r="M4">
        <f>G4-(0.3*SQRT(K4))</f>
        <v>-0.31775827987338157</v>
      </c>
      <c r="N4">
        <f t="shared" si="1"/>
        <v>0.37533414975590179</v>
      </c>
      <c r="P4" s="33"/>
      <c r="Q4" s="35">
        <f>LN(E4)-LN(E3)</f>
        <v>-3.0796375432807555E-2</v>
      </c>
    </row>
    <row r="5" spans="1:19" x14ac:dyDescent="0.25">
      <c r="A5" s="3" t="s">
        <v>3</v>
      </c>
      <c r="B5" s="6">
        <v>0.02</v>
      </c>
      <c r="D5" s="13">
        <v>3</v>
      </c>
      <c r="E5" s="18">
        <v>47.765454652004081</v>
      </c>
      <c r="F5" s="37">
        <f>F4+H4*(E5-E4)+I4*(EXP(0.02*1/200)-1)</f>
        <v>195509.6808569741</v>
      </c>
      <c r="G5" s="39">
        <f t="shared" si="2"/>
        <v>-0.20934642364408046</v>
      </c>
      <c r="H5" s="40">
        <f>L5*100000</f>
        <v>41708.890686760271</v>
      </c>
      <c r="I5" s="40">
        <f>F5-(H5*E5)</f>
        <v>-1796734.445826869</v>
      </c>
      <c r="K5" s="38">
        <v>0.23499999999999999</v>
      </c>
      <c r="L5" s="38">
        <f t="shared" ref="L5:L51" si="3">_xlfn.NORM.DIST(G5,0,1,TRUE)</f>
        <v>0.41708890686760269</v>
      </c>
      <c r="M5">
        <f t="shared" ref="M5:M51" si="4">G5-(0.3*SQRT(K5))</f>
        <v>-0.35477681936657035</v>
      </c>
      <c r="N5">
        <f t="shared" si="1"/>
        <v>0.3613783978327606</v>
      </c>
      <c r="Q5" s="35">
        <f>LN(E5)-LN(E4)</f>
        <v>-5.0195943995903214E-3</v>
      </c>
    </row>
    <row r="6" spans="1:19" x14ac:dyDescent="0.25">
      <c r="A6" s="7" t="s">
        <v>4</v>
      </c>
      <c r="B6" s="8">
        <v>50</v>
      </c>
      <c r="D6" s="13">
        <v>4</v>
      </c>
      <c r="E6" s="18">
        <v>47.946161937698918</v>
      </c>
      <c r="F6" s="37">
        <f>F5+H5*(E6-E5)+I5*(EXP(0.02*1/200)-1)</f>
        <v>202867.09885376674</v>
      </c>
      <c r="G6" s="39">
        <f t="shared" si="2"/>
        <v>-0.18762300955526862</v>
      </c>
      <c r="H6" s="40">
        <f>L6*100000</f>
        <v>42558.609377422094</v>
      </c>
      <c r="I6" s="40">
        <f t="shared" si="0"/>
        <v>-1837654.8781993848</v>
      </c>
      <c r="K6" s="38">
        <v>0.23</v>
      </c>
      <c r="L6" s="38">
        <f t="shared" si="3"/>
        <v>0.42558609377422096</v>
      </c>
      <c r="M6">
        <f t="shared" si="4"/>
        <v>-0.3314979552546502</v>
      </c>
      <c r="N6">
        <f t="shared" si="1"/>
        <v>0.37013419261561903</v>
      </c>
      <c r="Q6" s="35">
        <f>LN(E6)-LN(E5)</f>
        <v>3.7760829219277703E-3</v>
      </c>
    </row>
    <row r="7" spans="1:19" ht="15.75" thickBot="1" x14ac:dyDescent="0.3">
      <c r="A7" s="3" t="s">
        <v>13</v>
      </c>
      <c r="B7" s="21">
        <v>100000</v>
      </c>
      <c r="D7" s="13">
        <v>5</v>
      </c>
      <c r="E7" s="18">
        <v>48.675264962451678</v>
      </c>
      <c r="F7" s="37">
        <f t="shared" ref="F7:F51" si="5">F6+H6*(E7-E6)+I6*(EXP(0.02*1/200)-1)</f>
        <v>233712.93500371568</v>
      </c>
      <c r="G7" s="39">
        <f t="shared" si="2"/>
        <v>-8.5922672740152459E-2</v>
      </c>
      <c r="H7" s="40">
        <f t="shared" ref="H7:H51" si="6">L7*100000</f>
        <v>46576.39439598348</v>
      </c>
      <c r="I7" s="40">
        <f t="shared" si="0"/>
        <v>-2033405.40321643</v>
      </c>
      <c r="K7" s="38">
        <v>0.22500000000000001</v>
      </c>
      <c r="L7" s="38">
        <f t="shared" si="3"/>
        <v>0.46576394395983478</v>
      </c>
      <c r="M7">
        <f t="shared" si="4"/>
        <v>-0.22822516744772953</v>
      </c>
      <c r="N7">
        <f t="shared" si="1"/>
        <v>0.40973559844156021</v>
      </c>
      <c r="Q7" s="35">
        <f>LN(E7)-LN(E6)</f>
        <v>1.5092239628852422E-2</v>
      </c>
    </row>
    <row r="8" spans="1:19" ht="15.75" thickBot="1" x14ac:dyDescent="0.3">
      <c r="A8" s="22" t="s">
        <v>16</v>
      </c>
      <c r="B8" s="11">
        <v>50</v>
      </c>
      <c r="D8" s="13">
        <v>6</v>
      </c>
      <c r="E8" s="18">
        <v>48.879095610258801</v>
      </c>
      <c r="F8" s="37">
        <f t="shared" si="5"/>
        <v>243003.28093828139</v>
      </c>
      <c r="G8" s="39">
        <f t="shared" si="2"/>
        <v>-5.9505691391734346E-2</v>
      </c>
      <c r="H8" s="40">
        <f t="shared" si="6"/>
        <v>47627.466621857602</v>
      </c>
      <c r="I8" s="40">
        <f t="shared" si="0"/>
        <v>-2084984.2137459063</v>
      </c>
      <c r="K8" s="38">
        <v>0.22</v>
      </c>
      <c r="L8" s="38">
        <f t="shared" si="3"/>
        <v>0.476274666218576</v>
      </c>
      <c r="M8">
        <f t="shared" si="4"/>
        <v>-0.20021816418643723</v>
      </c>
      <c r="N8">
        <f t="shared" si="1"/>
        <v>0.42065498091154491</v>
      </c>
      <c r="Q8" s="35">
        <f t="shared" ref="Q8:Q52" si="7">LN(E8)-LN(E7)</f>
        <v>4.1788177017774153E-3</v>
      </c>
    </row>
    <row r="9" spans="1:19" x14ac:dyDescent="0.25">
      <c r="A9" s="10" t="s">
        <v>6</v>
      </c>
      <c r="B9" s="12">
        <v>0.10833333333333334</v>
      </c>
      <c r="D9" s="13">
        <v>7</v>
      </c>
      <c r="E9" s="18">
        <v>49.279433491769041</v>
      </c>
      <c r="F9" s="37">
        <f t="shared" si="5"/>
        <v>261861.85118073222</v>
      </c>
      <c r="G9" s="39">
        <f t="shared" ref="G9:G51" si="8">((LN(E9/50)+((0.02+(0.3^2)/2)*K9))/(0.3*SQRT(K9)))</f>
        <v>-3.8904768543818755E-3</v>
      </c>
      <c r="H9" s="40">
        <f t="shared" si="6"/>
        <v>49844.792820717557</v>
      </c>
      <c r="I9" s="40">
        <f t="shared" si="0"/>
        <v>-2194461.3015388255</v>
      </c>
      <c r="K9" s="38">
        <v>0.215</v>
      </c>
      <c r="L9" s="38">
        <f t="shared" si="3"/>
        <v>0.49844792820717554</v>
      </c>
      <c r="M9">
        <f t="shared" si="4"/>
        <v>-0.14299475428681743</v>
      </c>
      <c r="N9">
        <f t="shared" si="1"/>
        <v>0.4431471620459021</v>
      </c>
      <c r="Q9" s="35">
        <f t="shared" si="7"/>
        <v>8.1570110093927006E-3</v>
      </c>
    </row>
    <row r="10" spans="1:19" ht="15.75" thickBot="1" x14ac:dyDescent="0.3">
      <c r="A10" s="9" t="s">
        <v>14</v>
      </c>
      <c r="B10" s="41">
        <f>O2*100000</f>
        <v>310815.12162064441</v>
      </c>
      <c r="D10" s="13">
        <v>8</v>
      </c>
      <c r="E10" s="18">
        <v>50.190454246104999</v>
      </c>
      <c r="F10" s="37">
        <f t="shared" si="5"/>
        <v>307052.03483315563</v>
      </c>
      <c r="G10" s="39">
        <f t="shared" si="8"/>
        <v>0.12694352033679651</v>
      </c>
      <c r="H10" s="40">
        <f t="shared" si="6"/>
        <v>55050.744949894935</v>
      </c>
      <c r="I10" s="40">
        <f t="shared" si="0"/>
        <v>-2455969.8607885418</v>
      </c>
      <c r="K10" s="38">
        <v>0.21</v>
      </c>
      <c r="L10" s="38">
        <f t="shared" si="3"/>
        <v>0.55050744949894936</v>
      </c>
      <c r="M10">
        <f t="shared" si="4"/>
        <v>-1.0533750511878687E-2</v>
      </c>
      <c r="N10">
        <f t="shared" si="1"/>
        <v>0.49579771926386335</v>
      </c>
      <c r="Q10" s="35">
        <f t="shared" si="7"/>
        <v>1.8318030699522314E-2</v>
      </c>
    </row>
    <row r="11" spans="1:19" ht="15.75" thickBot="1" x14ac:dyDescent="0.3">
      <c r="A11" s="20" t="s">
        <v>15</v>
      </c>
      <c r="B11" s="32">
        <f>F52-(MAX(E52-B6,0)*B7)</f>
        <v>55393.577111131453</v>
      </c>
      <c r="D11" s="13">
        <v>9</v>
      </c>
      <c r="E11" s="18">
        <v>49.961241576420598</v>
      </c>
      <c r="F11" s="37">
        <f t="shared" si="5"/>
        <v>294188.09734873759</v>
      </c>
      <c r="G11" s="39">
        <f t="shared" si="8"/>
        <v>9.2390923474739747E-2</v>
      </c>
      <c r="H11" s="40">
        <f t="shared" si="6"/>
        <v>53680.627469869643</v>
      </c>
      <c r="I11" s="40">
        <f t="shared" si="0"/>
        <v>-2387762.6996472594</v>
      </c>
      <c r="K11" s="38">
        <v>0.20499999999999999</v>
      </c>
      <c r="L11" s="38">
        <f t="shared" si="3"/>
        <v>0.53680627469869646</v>
      </c>
      <c r="M11">
        <f t="shared" si="4"/>
        <v>-4.3439853597321484E-2</v>
      </c>
      <c r="N11">
        <f t="shared" si="1"/>
        <v>0.48267545454669292</v>
      </c>
      <c r="Q11" s="35">
        <f t="shared" si="7"/>
        <v>-4.5773177978465363E-3</v>
      </c>
    </row>
    <row r="12" spans="1:19" x14ac:dyDescent="0.25">
      <c r="D12" s="13">
        <v>10</v>
      </c>
      <c r="E12" s="18">
        <v>50.843417360732154</v>
      </c>
      <c r="F12" s="37">
        <f t="shared" si="5"/>
        <v>341305.05878013006</v>
      </c>
      <c r="G12" s="39">
        <f t="shared" si="8"/>
        <v>0.2215768698018549</v>
      </c>
      <c r="H12" s="40">
        <f t="shared" si="6"/>
        <v>58767.835492560407</v>
      </c>
      <c r="I12" s="40">
        <f t="shared" si="0"/>
        <v>-2646652.5285549671</v>
      </c>
      <c r="K12" s="38">
        <v>0.2</v>
      </c>
      <c r="L12" s="38">
        <f t="shared" si="3"/>
        <v>0.58767835492560405</v>
      </c>
      <c r="M12">
        <f t="shared" si="4"/>
        <v>8.7412791151867536E-2</v>
      </c>
      <c r="N12">
        <f t="shared" si="1"/>
        <v>0.53482829878561133</v>
      </c>
      <c r="Q12" s="35">
        <f t="shared" si="7"/>
        <v>1.7503125657134522E-2</v>
      </c>
    </row>
    <row r="13" spans="1:19" x14ac:dyDescent="0.25">
      <c r="D13" s="13">
        <v>11</v>
      </c>
      <c r="E13" s="18">
        <v>51.472769442634053</v>
      </c>
      <c r="F13" s="37">
        <f t="shared" si="5"/>
        <v>378026.03990968195</v>
      </c>
      <c r="G13" s="39">
        <f t="shared" si="8"/>
        <v>0.31481010675874543</v>
      </c>
      <c r="H13" s="40">
        <f t="shared" si="6"/>
        <v>62354.708122503718</v>
      </c>
      <c r="I13" s="40">
        <f t="shared" si="0"/>
        <v>-2831543.474942693</v>
      </c>
      <c r="K13" s="38">
        <v>0.19500000000000001</v>
      </c>
      <c r="L13" s="38">
        <f t="shared" si="3"/>
        <v>0.62354708122503721</v>
      </c>
      <c r="M13">
        <f t="shared" si="4"/>
        <v>0.18233369376382774</v>
      </c>
      <c r="N13">
        <f t="shared" si="1"/>
        <v>0.57233957097102595</v>
      </c>
      <c r="Q13" s="35">
        <f t="shared" si="7"/>
        <v>1.2302257130831773E-2</v>
      </c>
    </row>
    <row r="14" spans="1:19" x14ac:dyDescent="0.25">
      <c r="D14" s="13">
        <v>12</v>
      </c>
      <c r="E14" s="18">
        <v>52.021059065238248</v>
      </c>
      <c r="F14" s="37">
        <f t="shared" si="5"/>
        <v>411931.3107880805</v>
      </c>
      <c r="G14" s="39">
        <f t="shared" si="8"/>
        <v>0.39746744814252438</v>
      </c>
      <c r="H14" s="40">
        <f t="shared" si="6"/>
        <v>65448.860681703525</v>
      </c>
      <c r="I14" s="40">
        <f t="shared" si="0"/>
        <v>-2992787.7364873677</v>
      </c>
      <c r="K14" s="38">
        <v>0.19</v>
      </c>
      <c r="L14" s="38">
        <f t="shared" si="3"/>
        <v>0.65448860681703525</v>
      </c>
      <c r="M14">
        <f t="shared" si="4"/>
        <v>0.26670047983630418</v>
      </c>
      <c r="N14">
        <f t="shared" si="1"/>
        <v>0.60515010778004286</v>
      </c>
      <c r="Q14" s="35">
        <f t="shared" si="7"/>
        <v>1.0595699476061871E-2</v>
      </c>
    </row>
    <row r="15" spans="1:19" x14ac:dyDescent="0.25">
      <c r="D15" s="13">
        <v>13</v>
      </c>
      <c r="E15" s="18">
        <v>52.697966436646894</v>
      </c>
      <c r="F15" s="37">
        <f t="shared" si="5"/>
        <v>455934.83329573675</v>
      </c>
      <c r="G15" s="39">
        <f t="shared" si="8"/>
        <v>0.50047601340349823</v>
      </c>
      <c r="H15" s="40">
        <f t="shared" si="6"/>
        <v>69163.002914020282</v>
      </c>
      <c r="I15" s="40">
        <f t="shared" si="0"/>
        <v>-3188814.7729250151</v>
      </c>
      <c r="K15" s="38">
        <v>0.185</v>
      </c>
      <c r="L15" s="38">
        <f t="shared" si="3"/>
        <v>0.69163002914020277</v>
      </c>
      <c r="M15">
        <f t="shared" si="4"/>
        <v>0.37144113439785886</v>
      </c>
      <c r="N15">
        <f t="shared" si="1"/>
        <v>0.6448455036973384</v>
      </c>
      <c r="Q15" s="35">
        <f t="shared" si="7"/>
        <v>1.2928248640737827E-2</v>
      </c>
    </row>
    <row r="16" spans="1:19" x14ac:dyDescent="0.25">
      <c r="D16" s="13">
        <v>14</v>
      </c>
      <c r="E16" s="18">
        <v>51.728482563845247</v>
      </c>
      <c r="F16" s="37">
        <f t="shared" si="5"/>
        <v>388563.51995416282</v>
      </c>
      <c r="G16" s="39">
        <f t="shared" si="8"/>
        <v>0.35893953594545142</v>
      </c>
      <c r="H16" s="40">
        <f t="shared" si="6"/>
        <v>64017.983883718691</v>
      </c>
      <c r="I16" s="40">
        <f t="shared" si="0"/>
        <v>-2922989.6431473056</v>
      </c>
      <c r="K16" s="38">
        <v>0.18</v>
      </c>
      <c r="L16" s="38">
        <f t="shared" si="3"/>
        <v>0.64017983883718688</v>
      </c>
      <c r="M16">
        <f t="shared" si="4"/>
        <v>0.23166031533187287</v>
      </c>
      <c r="N16">
        <f t="shared" si="1"/>
        <v>0.59159907165930381</v>
      </c>
      <c r="Q16" s="35">
        <f t="shared" si="7"/>
        <v>-1.856831745220866E-2</v>
      </c>
    </row>
    <row r="17" spans="4:17" x14ac:dyDescent="0.25">
      <c r="D17" s="13">
        <v>15</v>
      </c>
      <c r="E17" s="18">
        <v>52.552502571645881</v>
      </c>
      <c r="F17" s="37">
        <f t="shared" si="5"/>
        <v>441023.30595365528</v>
      </c>
      <c r="G17" s="39">
        <f t="shared" si="8"/>
        <v>0.48737210254675567</v>
      </c>
      <c r="H17" s="40">
        <f t="shared" si="6"/>
        <v>68700.267014293102</v>
      </c>
      <c r="I17" s="40">
        <f t="shared" si="0"/>
        <v>-3169347.6529877414</v>
      </c>
      <c r="K17" s="38">
        <v>0.17499999999999999</v>
      </c>
      <c r="L17" s="38">
        <f t="shared" si="3"/>
        <v>0.68700267014293104</v>
      </c>
      <c r="M17">
        <f t="shared" si="4"/>
        <v>0.36187309856664435</v>
      </c>
      <c r="N17">
        <f t="shared" si="1"/>
        <v>0.64127656814505563</v>
      </c>
      <c r="Q17" s="35">
        <f t="shared" si="7"/>
        <v>1.5804169054773887E-2</v>
      </c>
    </row>
    <row r="18" spans="4:17" x14ac:dyDescent="0.25">
      <c r="D18" s="13">
        <v>16</v>
      </c>
      <c r="E18" s="18">
        <v>50.925201044894912</v>
      </c>
      <c r="F18" s="37">
        <f t="shared" si="5"/>
        <v>328910.30594053149</v>
      </c>
      <c r="G18" s="39">
        <f t="shared" si="8"/>
        <v>0.23756287296966538</v>
      </c>
      <c r="H18" s="40">
        <f t="shared" si="6"/>
        <v>59388.992537539663</v>
      </c>
      <c r="I18" s="40">
        <f t="shared" si="0"/>
        <v>-2695486.0788874393</v>
      </c>
      <c r="K18" s="38">
        <v>0.17</v>
      </c>
      <c r="L18" s="38">
        <f t="shared" si="3"/>
        <v>0.59388992537539664</v>
      </c>
      <c r="M18">
        <f t="shared" si="4"/>
        <v>0.11386970420113557</v>
      </c>
      <c r="N18">
        <f t="shared" si="1"/>
        <v>0.54532945906544905</v>
      </c>
      <c r="Q18" s="35">
        <f t="shared" si="7"/>
        <v>-3.1454808897936726E-2</v>
      </c>
    </row>
    <row r="19" spans="4:17" x14ac:dyDescent="0.25">
      <c r="D19" s="13">
        <v>17</v>
      </c>
      <c r="E19" s="18">
        <v>50.188990559861445</v>
      </c>
      <c r="F19" s="37">
        <f t="shared" si="5"/>
        <v>284917.94485305191</v>
      </c>
      <c r="G19" s="39">
        <f t="shared" si="8"/>
        <v>0.11896944958165451</v>
      </c>
      <c r="H19" s="40">
        <f t="shared" si="6"/>
        <v>54735.022022479505</v>
      </c>
      <c r="I19" s="40">
        <f t="shared" si="0"/>
        <v>-2462177.5587269804</v>
      </c>
      <c r="K19" s="38">
        <v>0.16500000000000001</v>
      </c>
      <c r="L19" s="38">
        <f t="shared" si="3"/>
        <v>0.54735022022479507</v>
      </c>
      <c r="M19">
        <f t="shared" si="4"/>
        <v>-2.891126487884893E-3</v>
      </c>
      <c r="N19">
        <f t="shared" si="1"/>
        <v>0.49884660901278582</v>
      </c>
      <c r="Q19" s="35">
        <f t="shared" si="7"/>
        <v>-1.4562218878677591E-2</v>
      </c>
    </row>
    <row r="20" spans="4:17" x14ac:dyDescent="0.25">
      <c r="D20" s="13">
        <v>18</v>
      </c>
      <c r="E20" s="18">
        <v>51.96906461002181</v>
      </c>
      <c r="F20" s="37">
        <f t="shared" si="5"/>
        <v>382104.10712305282</v>
      </c>
      <c r="G20" s="39">
        <f t="shared" si="8"/>
        <v>0.40854687314647753</v>
      </c>
      <c r="H20" s="40">
        <f t="shared" si="6"/>
        <v>65856.388733069776</v>
      </c>
      <c r="I20" s="40">
        <f t="shared" si="0"/>
        <v>-3040390.8139285627</v>
      </c>
      <c r="K20" s="38">
        <v>0.16</v>
      </c>
      <c r="L20" s="38">
        <f t="shared" si="3"/>
        <v>0.65856388733069782</v>
      </c>
      <c r="M20">
        <f t="shared" si="4"/>
        <v>0.28854687314647753</v>
      </c>
      <c r="N20">
        <f t="shared" si="1"/>
        <v>0.61353592206577257</v>
      </c>
      <c r="Q20" s="35">
        <f t="shared" si="7"/>
        <v>3.4852939116881032E-2</v>
      </c>
    </row>
    <row r="21" spans="4:17" x14ac:dyDescent="0.25">
      <c r="D21" s="13">
        <v>19</v>
      </c>
      <c r="E21" s="18">
        <v>52.980929207186115</v>
      </c>
      <c r="F21" s="37">
        <f t="shared" si="5"/>
        <v>448437.80109528254</v>
      </c>
      <c r="G21" s="39">
        <f t="shared" si="8"/>
        <v>0.57559858697322808</v>
      </c>
      <c r="H21" s="40">
        <f t="shared" si="6"/>
        <v>71755.673181306425</v>
      </c>
      <c r="I21" s="40">
        <f t="shared" si="0"/>
        <v>-3353244.4399374966</v>
      </c>
      <c r="K21" s="38">
        <v>0.155</v>
      </c>
      <c r="L21" s="38">
        <f t="shared" si="3"/>
        <v>0.71755673181306423</v>
      </c>
      <c r="M21">
        <f t="shared" si="4"/>
        <v>0.45748846886305095</v>
      </c>
      <c r="N21">
        <f t="shared" si="1"/>
        <v>0.67634000568188113</v>
      </c>
      <c r="Q21" s="35">
        <f t="shared" si="7"/>
        <v>1.9283392313881986E-2</v>
      </c>
    </row>
    <row r="22" spans="4:17" x14ac:dyDescent="0.25">
      <c r="D22" s="13">
        <v>20</v>
      </c>
      <c r="E22" s="18">
        <v>52.111637501166399</v>
      </c>
      <c r="F22" s="37">
        <f t="shared" si="5"/>
        <v>385725.84832813655</v>
      </c>
      <c r="G22" s="39">
        <f t="shared" si="8"/>
        <v>0.43993034450346802</v>
      </c>
      <c r="H22" s="40">
        <f t="shared" si="6"/>
        <v>67000.622126782837</v>
      </c>
      <c r="I22" s="40">
        <f t="shared" si="0"/>
        <v>-3105786.2842953992</v>
      </c>
      <c r="K22" s="38">
        <v>0.15</v>
      </c>
      <c r="L22" s="38">
        <f t="shared" si="3"/>
        <v>0.67000622126782838</v>
      </c>
      <c r="M22">
        <f t="shared" si="4"/>
        <v>0.32374084411724552</v>
      </c>
      <c r="N22">
        <f t="shared" si="1"/>
        <v>0.62693287721252455</v>
      </c>
      <c r="Q22" s="35">
        <f t="shared" si="7"/>
        <v>-1.654373015886268E-2</v>
      </c>
    </row>
    <row r="23" spans="4:17" x14ac:dyDescent="0.25">
      <c r="D23" s="13">
        <v>21</v>
      </c>
      <c r="E23" s="18">
        <v>51.120443479193007</v>
      </c>
      <c r="F23" s="37">
        <f t="shared" si="5"/>
        <v>319004.6380496925</v>
      </c>
      <c r="G23" s="39">
        <f t="shared" si="8"/>
        <v>0.27650053314799283</v>
      </c>
      <c r="H23" s="40">
        <f t="shared" si="6"/>
        <v>60891.817489488698</v>
      </c>
      <c r="I23" s="40">
        <f t="shared" si="0"/>
        <v>-2793812.076267051</v>
      </c>
      <c r="K23" s="38">
        <v>0.14499999999999999</v>
      </c>
      <c r="L23" s="38">
        <f t="shared" si="3"/>
        <v>0.60891817489488698</v>
      </c>
      <c r="M23">
        <f t="shared" si="4"/>
        <v>0.16226393656003424</v>
      </c>
      <c r="N23">
        <f t="shared" si="1"/>
        <v>0.56445099363411144</v>
      </c>
      <c r="Q23" s="35">
        <f t="shared" si="7"/>
        <v>-1.9203807071014101E-2</v>
      </c>
    </row>
    <row r="24" spans="4:17" x14ac:dyDescent="0.25">
      <c r="D24" s="13">
        <v>22</v>
      </c>
      <c r="E24" s="18">
        <v>50.343305755812004</v>
      </c>
      <c r="F24" s="37">
        <f t="shared" si="5"/>
        <v>271403.91445622686</v>
      </c>
      <c r="G24" s="39">
        <f t="shared" si="8"/>
        <v>0.14202842078536518</v>
      </c>
      <c r="H24" s="40">
        <f t="shared" si="6"/>
        <v>55647.122164911045</v>
      </c>
      <c r="I24" s="40">
        <f t="shared" si="0"/>
        <v>-2530056.1711229132</v>
      </c>
      <c r="K24" s="38">
        <v>0.14000000000000001</v>
      </c>
      <c r="L24" s="38">
        <f t="shared" si="3"/>
        <v>0.55647122164911045</v>
      </c>
      <c r="M24">
        <f t="shared" si="4"/>
        <v>2.9778699182146928E-2</v>
      </c>
      <c r="N24">
        <f t="shared" si="1"/>
        <v>0.51187822658884397</v>
      </c>
      <c r="Q24" s="35">
        <f t="shared" si="7"/>
        <v>-1.5318829168680548E-2</v>
      </c>
    </row>
    <row r="25" spans="4:17" x14ac:dyDescent="0.25">
      <c r="D25" s="13">
        <v>23</v>
      </c>
      <c r="E25" s="18">
        <v>51.901380906284423</v>
      </c>
      <c r="F25" s="37">
        <f t="shared" si="5"/>
        <v>357853.29442886281</v>
      </c>
      <c r="G25" s="39">
        <f t="shared" si="8"/>
        <v>0.41820402784841582</v>
      </c>
      <c r="H25" s="40">
        <f t="shared" si="6"/>
        <v>66210.102444062155</v>
      </c>
      <c r="I25" s="40">
        <f t="shared" si="0"/>
        <v>-3078542.4523645206</v>
      </c>
      <c r="K25" s="38">
        <v>0.13500000000000001</v>
      </c>
      <c r="L25" s="38">
        <f t="shared" si="3"/>
        <v>0.66210102444062158</v>
      </c>
      <c r="M25">
        <f t="shared" si="4"/>
        <v>0.30797698942317281</v>
      </c>
      <c r="N25">
        <f t="shared" si="1"/>
        <v>0.62095007916318934</v>
      </c>
      <c r="Q25" s="35">
        <f t="shared" si="7"/>
        <v>3.0479740754336682E-2</v>
      </c>
    </row>
    <row r="26" spans="4:17" x14ac:dyDescent="0.25">
      <c r="D26" s="13">
        <v>24</v>
      </c>
      <c r="E26" s="18">
        <v>51.183097142232725</v>
      </c>
      <c r="F26" s="37">
        <f t="shared" si="5"/>
        <v>309987.78318863135</v>
      </c>
      <c r="G26" s="39">
        <f t="shared" si="8"/>
        <v>0.29432705050303332</v>
      </c>
      <c r="H26" s="40">
        <f t="shared" si="6"/>
        <v>61574.599785412262</v>
      </c>
      <c r="I26" s="40">
        <f t="shared" si="0"/>
        <v>-2841590.939122227</v>
      </c>
      <c r="K26" s="38">
        <v>0.13</v>
      </c>
      <c r="L26" s="38">
        <f t="shared" si="3"/>
        <v>0.61574599785412265</v>
      </c>
      <c r="M26">
        <f t="shared" si="4"/>
        <v>0.18616051223911362</v>
      </c>
      <c r="N26">
        <f t="shared" si="1"/>
        <v>0.57384055536050482</v>
      </c>
      <c r="Q26" s="35">
        <f t="shared" si="7"/>
        <v>-1.393605327689551E-2</v>
      </c>
    </row>
    <row r="27" spans="4:17" x14ac:dyDescent="0.25">
      <c r="D27" s="13">
        <v>25</v>
      </c>
      <c r="E27" s="18">
        <v>50.469461137834891</v>
      </c>
      <c r="F27" s="37">
        <f t="shared" si="5"/>
        <v>265761.75852303335</v>
      </c>
      <c r="G27" s="39">
        <f t="shared" si="8"/>
        <v>0.16471268037798062</v>
      </c>
      <c r="H27" s="40">
        <f t="shared" si="6"/>
        <v>56541.49320945012</v>
      </c>
      <c r="I27" s="40">
        <f t="shared" si="0"/>
        <v>-2587856.9356864649</v>
      </c>
      <c r="K27" s="38">
        <v>0.125</v>
      </c>
      <c r="L27" s="38">
        <f t="shared" si="3"/>
        <v>0.56541493209450122</v>
      </c>
      <c r="M27">
        <f t="shared" si="4"/>
        <v>5.8646663199998492E-2</v>
      </c>
      <c r="N27">
        <f t="shared" si="1"/>
        <v>0.52338322861994935</v>
      </c>
      <c r="Q27" s="35">
        <f t="shared" si="7"/>
        <v>-1.4040920183940653E-2</v>
      </c>
    </row>
    <row r="28" spans="4:17" x14ac:dyDescent="0.25">
      <c r="D28" s="13">
        <v>26</v>
      </c>
      <c r="E28" s="18">
        <v>51.073283625557103</v>
      </c>
      <c r="F28" s="37">
        <f t="shared" si="5"/>
        <v>299643.98497900733</v>
      </c>
      <c r="G28" s="39">
        <f t="shared" si="8"/>
        <v>0.2794233825997286</v>
      </c>
      <c r="H28" s="40">
        <f t="shared" si="6"/>
        <v>61004.003564797735</v>
      </c>
      <c r="I28" s="40">
        <f t="shared" si="0"/>
        <v>-2816030.791380404</v>
      </c>
      <c r="K28" s="38">
        <v>0.12</v>
      </c>
      <c r="L28" s="38">
        <f t="shared" si="3"/>
        <v>0.61004003564797737</v>
      </c>
      <c r="M28">
        <f t="shared" si="4"/>
        <v>0.17550033414559596</v>
      </c>
      <c r="N28">
        <f t="shared" si="1"/>
        <v>0.56965674587783166</v>
      </c>
      <c r="Q28" s="35">
        <f t="shared" si="7"/>
        <v>1.1893111742726781E-2</v>
      </c>
    </row>
    <row r="29" spans="4:17" x14ac:dyDescent="0.25">
      <c r="D29" s="13">
        <v>27</v>
      </c>
      <c r="E29" s="18">
        <v>51.530250603035384</v>
      </c>
      <c r="F29" s="37">
        <f t="shared" si="5"/>
        <v>327239.18294232571</v>
      </c>
      <c r="G29" s="39">
        <f t="shared" si="8"/>
        <v>0.36979445352027601</v>
      </c>
      <c r="H29" s="40">
        <f t="shared" si="6"/>
        <v>64423.217589355678</v>
      </c>
      <c r="I29" s="40">
        <f t="shared" si="0"/>
        <v>-2992505.3640910494</v>
      </c>
      <c r="K29" s="38">
        <v>0.115</v>
      </c>
      <c r="L29" s="38">
        <f t="shared" si="3"/>
        <v>0.64423217589355675</v>
      </c>
      <c r="M29">
        <f t="shared" si="4"/>
        <v>0.26805950377339699</v>
      </c>
      <c r="N29">
        <f t="shared" si="1"/>
        <v>0.60567324164804903</v>
      </c>
      <c r="Q29" s="35">
        <f t="shared" si="7"/>
        <v>8.9074904164303526E-3</v>
      </c>
    </row>
    <row r="30" spans="4:17" x14ac:dyDescent="0.25">
      <c r="D30" s="13">
        <v>28</v>
      </c>
      <c r="E30" s="18">
        <v>52.348300752920601</v>
      </c>
      <c r="F30" s="37">
        <f t="shared" si="5"/>
        <v>379641.34024795122</v>
      </c>
      <c r="G30" s="39">
        <f t="shared" si="8"/>
        <v>0.53313710335678566</v>
      </c>
      <c r="H30" s="40">
        <f t="shared" si="6"/>
        <v>70303.066169572587</v>
      </c>
      <c r="I30" s="40">
        <f t="shared" si="0"/>
        <v>-3300604.711449312</v>
      </c>
      <c r="K30" s="38">
        <v>0.11</v>
      </c>
      <c r="L30" s="38">
        <f t="shared" si="3"/>
        <v>0.70303066169572592</v>
      </c>
      <c r="M30">
        <f t="shared" si="4"/>
        <v>0.43363835964612368</v>
      </c>
      <c r="N30">
        <f t="shared" si="1"/>
        <v>0.66772446275010888</v>
      </c>
      <c r="Q30" s="35">
        <f t="shared" si="7"/>
        <v>1.575045186398194E-2</v>
      </c>
    </row>
    <row r="31" spans="4:17" x14ac:dyDescent="0.25">
      <c r="D31" s="13">
        <v>29</v>
      </c>
      <c r="E31" s="18">
        <v>53.127716766476617</v>
      </c>
      <c r="F31" s="37">
        <f t="shared" si="5"/>
        <v>434106.59884788556</v>
      </c>
      <c r="G31" s="39">
        <f t="shared" si="8"/>
        <v>0.69437288918877771</v>
      </c>
      <c r="H31" s="40">
        <f t="shared" si="6"/>
        <v>75627.58044806066</v>
      </c>
      <c r="I31" s="40">
        <f t="shared" si="0"/>
        <v>-3583814.0749306059</v>
      </c>
      <c r="K31" s="38">
        <v>0.105</v>
      </c>
      <c r="L31" s="38">
        <f t="shared" si="3"/>
        <v>0.75627580448060661</v>
      </c>
      <c r="M31">
        <f t="shared" si="4"/>
        <v>0.59716177871265985</v>
      </c>
      <c r="N31">
        <f t="shared" si="1"/>
        <v>0.72480031261536781</v>
      </c>
      <c r="Q31" s="35">
        <f t="shared" si="7"/>
        <v>1.477928763300973E-2</v>
      </c>
    </row>
    <row r="32" spans="4:17" x14ac:dyDescent="0.25">
      <c r="D32" s="13">
        <v>30</v>
      </c>
      <c r="E32" s="18">
        <v>52.560391426559974</v>
      </c>
      <c r="F32" s="37">
        <f t="shared" si="5"/>
        <v>390842.75673595537</v>
      </c>
      <c r="G32" s="39">
        <f t="shared" si="8"/>
        <v>0.594927897111028</v>
      </c>
      <c r="H32" s="40">
        <f t="shared" si="6"/>
        <v>72405.416564785613</v>
      </c>
      <c r="I32" s="40">
        <f t="shared" si="0"/>
        <v>-3414814.2793123061</v>
      </c>
      <c r="K32" s="38">
        <v>0.1</v>
      </c>
      <c r="L32" s="38">
        <f t="shared" si="3"/>
        <v>0.72405416564785607</v>
      </c>
      <c r="M32">
        <f t="shared" si="4"/>
        <v>0.50005956730597667</v>
      </c>
      <c r="N32">
        <f t="shared" si="1"/>
        <v>0.69148343254474187</v>
      </c>
      <c r="Q32" s="35">
        <f t="shared" si="7"/>
        <v>-1.0735943689196503E-2</v>
      </c>
    </row>
    <row r="33" spans="4:17" x14ac:dyDescent="0.25">
      <c r="D33" s="13">
        <v>31</v>
      </c>
      <c r="E33" s="18">
        <v>53.604300621578751</v>
      </c>
      <c r="F33" s="37">
        <f t="shared" si="5"/>
        <v>466085.93835452804</v>
      </c>
      <c r="G33" s="39">
        <f t="shared" si="8"/>
        <v>0.81955662366429116</v>
      </c>
      <c r="H33" s="40">
        <f t="shared" si="6"/>
        <v>79376.554506576926</v>
      </c>
      <c r="I33" s="40">
        <f t="shared" si="0"/>
        <v>-3788838.7517211535</v>
      </c>
      <c r="K33" s="38">
        <v>9.5000000000000001E-2</v>
      </c>
      <c r="L33" s="38">
        <f t="shared" si="3"/>
        <v>0.79376554506576924</v>
      </c>
      <c r="M33">
        <f t="shared" si="4"/>
        <v>0.72709041361975646</v>
      </c>
      <c r="N33">
        <f t="shared" si="1"/>
        <v>0.76641471455521104</v>
      </c>
      <c r="Q33" s="35">
        <f t="shared" si="7"/>
        <v>1.9666478953777489E-2</v>
      </c>
    </row>
    <row r="34" spans="4:17" x14ac:dyDescent="0.25">
      <c r="D34" s="13">
        <v>32</v>
      </c>
      <c r="E34" s="18">
        <v>54.260268461545607</v>
      </c>
      <c r="F34" s="37">
        <f t="shared" si="5"/>
        <v>517775.50253822119</v>
      </c>
      <c r="G34" s="39">
        <f t="shared" si="8"/>
        <v>0.97354721642558439</v>
      </c>
      <c r="H34" s="40">
        <f t="shared" si="6"/>
        <v>83485.929730837612</v>
      </c>
      <c r="I34" s="40">
        <f t="shared" si="0"/>
        <v>-4012193.4574187603</v>
      </c>
      <c r="K34" s="38">
        <v>0.09</v>
      </c>
      <c r="L34" s="38">
        <f t="shared" si="3"/>
        <v>0.83485929730837605</v>
      </c>
      <c r="M34">
        <f t="shared" si="4"/>
        <v>0.88354721642558443</v>
      </c>
      <c r="N34">
        <f t="shared" si="1"/>
        <v>0.81152965828874568</v>
      </c>
      <c r="Q34" s="35">
        <f t="shared" si="7"/>
        <v>1.2162954571170559E-2</v>
      </c>
    </row>
    <row r="35" spans="4:17" x14ac:dyDescent="0.25">
      <c r="D35" s="13">
        <v>33</v>
      </c>
      <c r="E35" s="18">
        <v>55.721883716492059</v>
      </c>
      <c r="F35" s="37">
        <f t="shared" si="5"/>
        <v>639398.57159882295</v>
      </c>
      <c r="G35" s="39">
        <f t="shared" si="8"/>
        <v>1.3019595175798928</v>
      </c>
      <c r="H35" s="40">
        <f t="shared" si="6"/>
        <v>90353.488762799825</v>
      </c>
      <c r="I35" s="40">
        <f t="shared" si="0"/>
        <v>-4395268.0226212805</v>
      </c>
      <c r="K35" s="38">
        <v>8.5000000000000006E-2</v>
      </c>
      <c r="L35" s="38">
        <f t="shared" si="3"/>
        <v>0.90353488762799827</v>
      </c>
      <c r="M35">
        <f t="shared" si="4"/>
        <v>1.2144952391572132</v>
      </c>
      <c r="N35">
        <f t="shared" si="1"/>
        <v>0.88772066663449722</v>
      </c>
      <c r="Q35" s="35">
        <f t="shared" si="7"/>
        <v>2.6580700262362811E-2</v>
      </c>
    </row>
    <row r="36" spans="4:17" x14ac:dyDescent="0.25">
      <c r="D36" s="13">
        <v>34</v>
      </c>
      <c r="E36" s="18">
        <v>54.819615295764478</v>
      </c>
      <c r="F36" s="37">
        <f t="shared" si="5"/>
        <v>557435.92320624937</v>
      </c>
      <c r="G36" s="39">
        <f t="shared" si="8"/>
        <v>1.145808412764338</v>
      </c>
      <c r="H36" s="40">
        <f t="shared" si="6"/>
        <v>87406.278326546089</v>
      </c>
      <c r="I36" s="40">
        <f t="shared" si="0"/>
        <v>-4234142.629089524</v>
      </c>
      <c r="K36" s="38">
        <v>0.08</v>
      </c>
      <c r="L36" s="38">
        <f t="shared" si="3"/>
        <v>0.87406278326546083</v>
      </c>
      <c r="M36">
        <f t="shared" si="4"/>
        <v>1.0609555990219524</v>
      </c>
      <c r="N36">
        <f t="shared" si="1"/>
        <v>0.85564496000778123</v>
      </c>
      <c r="Q36" s="35">
        <f t="shared" si="7"/>
        <v>-1.6324881907914701E-2</v>
      </c>
    </row>
    <row r="37" spans="4:17" x14ac:dyDescent="0.25">
      <c r="D37" s="13">
        <v>35</v>
      </c>
      <c r="E37" s="18">
        <v>54.385390430601383</v>
      </c>
      <c r="F37" s="37">
        <f t="shared" si="5"/>
        <v>519058.50835116894</v>
      </c>
      <c r="G37" s="39">
        <f t="shared" si="8"/>
        <v>1.0826351515101453</v>
      </c>
      <c r="H37" s="40">
        <f t="shared" si="6"/>
        <v>86051.480082857655</v>
      </c>
      <c r="I37" s="40">
        <f t="shared" si="0"/>
        <v>-4160884.8330861633</v>
      </c>
      <c r="K37" s="38">
        <v>7.4999999999999997E-2</v>
      </c>
      <c r="L37" s="38">
        <f t="shared" si="3"/>
        <v>0.86051480082857656</v>
      </c>
      <c r="M37">
        <f t="shared" si="4"/>
        <v>1.0004767678843705</v>
      </c>
      <c r="N37">
        <f t="shared" si="1"/>
        <v>0.84146008243805837</v>
      </c>
      <c r="Q37" s="35">
        <f t="shared" si="7"/>
        <v>-7.9525137282314695E-3</v>
      </c>
    </row>
    <row r="38" spans="4:17" x14ac:dyDescent="0.25">
      <c r="D38" s="13">
        <v>36</v>
      </c>
      <c r="E38" s="18">
        <v>54.533397612974767</v>
      </c>
      <c r="F38" s="37">
        <f t="shared" si="5"/>
        <v>531378.6361688656</v>
      </c>
      <c r="G38" s="39">
        <f t="shared" si="8"/>
        <v>1.1507797225907084</v>
      </c>
      <c r="H38" s="40">
        <f t="shared" si="6"/>
        <v>87508.856553762074</v>
      </c>
      <c r="I38" s="40">
        <f t="shared" si="0"/>
        <v>-4240776.6329342145</v>
      </c>
      <c r="K38" s="38">
        <v>7.0000000000000007E-2</v>
      </c>
      <c r="L38" s="38">
        <f t="shared" si="3"/>
        <v>0.87508856553762071</v>
      </c>
      <c r="M38">
        <f t="shared" si="4"/>
        <v>1.0714071832587706</v>
      </c>
      <c r="N38">
        <f t="shared" si="1"/>
        <v>0.85800680780660876</v>
      </c>
      <c r="Q38" s="35">
        <f t="shared" si="7"/>
        <v>2.7177546892080962E-3</v>
      </c>
    </row>
    <row r="39" spans="4:17" x14ac:dyDescent="0.25">
      <c r="D39" s="13">
        <v>37</v>
      </c>
      <c r="E39" s="18">
        <v>54.099933327746236</v>
      </c>
      <c r="F39" s="37">
        <f t="shared" si="5"/>
        <v>493022.5733437395</v>
      </c>
      <c r="G39" s="39">
        <f t="shared" si="8"/>
        <v>1.0856328726599931</v>
      </c>
      <c r="H39" s="40">
        <f t="shared" si="6"/>
        <v>86117.927493916097</v>
      </c>
      <c r="I39" s="40">
        <f t="shared" si="0"/>
        <v>-4165951.5624008062</v>
      </c>
      <c r="K39" s="38">
        <v>6.5000000000000002E-2</v>
      </c>
      <c r="L39" s="38">
        <f t="shared" si="3"/>
        <v>0.86117927493916091</v>
      </c>
      <c r="M39">
        <f t="shared" si="4"/>
        <v>1.0091475799561014</v>
      </c>
      <c r="N39">
        <f t="shared" si="1"/>
        <v>0.84354806891940348</v>
      </c>
      <c r="Q39" s="35">
        <f t="shared" si="7"/>
        <v>-7.9803607593609271E-3</v>
      </c>
    </row>
    <row r="40" spans="4:17" x14ac:dyDescent="0.25">
      <c r="D40" s="13">
        <v>38</v>
      </c>
      <c r="E40" s="18">
        <v>53.15321737152712</v>
      </c>
      <c r="F40" s="37">
        <f t="shared" si="5"/>
        <v>411076.74128203583</v>
      </c>
      <c r="G40" s="39">
        <f t="shared" si="8"/>
        <v>0.88529500916751347</v>
      </c>
      <c r="H40" s="40">
        <f t="shared" si="6"/>
        <v>81200.122947417054</v>
      </c>
      <c r="I40" s="40">
        <f t="shared" si="0"/>
        <v>-3904971.0443367502</v>
      </c>
      <c r="K40" s="38">
        <v>0.06</v>
      </c>
      <c r="L40" s="38">
        <f t="shared" si="3"/>
        <v>0.81200122947417053</v>
      </c>
      <c r="M40">
        <f t="shared" si="4"/>
        <v>0.81181031688401817</v>
      </c>
      <c r="N40">
        <f t="shared" si="1"/>
        <v>0.79154975937663008</v>
      </c>
      <c r="Q40" s="35">
        <f t="shared" si="7"/>
        <v>-1.76543167055776E-2</v>
      </c>
    </row>
    <row r="41" spans="4:17" x14ac:dyDescent="0.25">
      <c r="D41" s="13">
        <v>39</v>
      </c>
      <c r="E41" s="18">
        <v>53.371662966903962</v>
      </c>
      <c r="F41" s="37">
        <f t="shared" si="5"/>
        <v>428424.03385401721</v>
      </c>
      <c r="G41" s="39">
        <f t="shared" si="8"/>
        <v>0.97833464614310661</v>
      </c>
      <c r="H41" s="40">
        <f t="shared" si="6"/>
        <v>83604.55801368301</v>
      </c>
      <c r="I41" s="40">
        <f t="shared" si="0"/>
        <v>-4033690.2589492425</v>
      </c>
      <c r="K41" s="38">
        <v>5.5E-2</v>
      </c>
      <c r="L41" s="38">
        <f t="shared" si="3"/>
        <v>0.83604558013683006</v>
      </c>
      <c r="M41">
        <f t="shared" si="4"/>
        <v>0.90797840974575517</v>
      </c>
      <c r="N41">
        <f t="shared" si="1"/>
        <v>0.81805518566529278</v>
      </c>
      <c r="Q41" s="35">
        <f t="shared" si="7"/>
        <v>4.1013123109743255E-3</v>
      </c>
    </row>
    <row r="42" spans="4:17" x14ac:dyDescent="0.25">
      <c r="D42" s="13">
        <v>40</v>
      </c>
      <c r="E42" s="18">
        <v>53.741951239083704</v>
      </c>
      <c r="F42" s="37">
        <f t="shared" si="5"/>
        <v>458978.43199223623</v>
      </c>
      <c r="G42" s="39">
        <f t="shared" si="8"/>
        <v>1.1243084846046825</v>
      </c>
      <c r="H42" s="40">
        <f t="shared" si="6"/>
        <v>86955.890990623157</v>
      </c>
      <c r="I42" s="40">
        <f t="shared" si="0"/>
        <v>-4214200.821576911</v>
      </c>
      <c r="K42" s="38">
        <v>0.05</v>
      </c>
      <c r="L42" s="38">
        <f t="shared" si="3"/>
        <v>0.86955890990623164</v>
      </c>
      <c r="M42">
        <f t="shared" si="4"/>
        <v>1.0572264452796887</v>
      </c>
      <c r="N42">
        <f t="shared" si="1"/>
        <v>0.85479587335226803</v>
      </c>
      <c r="Q42" s="35">
        <f t="shared" si="7"/>
        <v>6.9139623379119719E-3</v>
      </c>
    </row>
    <row r="43" spans="4:17" x14ac:dyDescent="0.25">
      <c r="D43" s="13">
        <v>41</v>
      </c>
      <c r="E43" s="18">
        <v>52.51496827328215</v>
      </c>
      <c r="F43" s="37">
        <f t="shared" si="5"/>
        <v>351863.59381678043</v>
      </c>
      <c r="G43" s="39">
        <f t="shared" si="8"/>
        <v>0.81710483847888038</v>
      </c>
      <c r="H43" s="40">
        <f t="shared" si="6"/>
        <v>79306.574093922827</v>
      </c>
      <c r="I43" s="40">
        <f t="shared" si="0"/>
        <v>-3812918.6285882769</v>
      </c>
      <c r="K43" s="38">
        <v>4.4999999999999998E-2</v>
      </c>
      <c r="L43" s="38">
        <f t="shared" si="3"/>
        <v>0.79306574093922833</v>
      </c>
      <c r="M43">
        <f t="shared" si="4"/>
        <v>0.75346522817209105</v>
      </c>
      <c r="N43">
        <f t="shared" si="1"/>
        <v>0.77441480062636658</v>
      </c>
      <c r="Q43" s="35">
        <f t="shared" si="7"/>
        <v>-2.3095672477087437E-2</v>
      </c>
    </row>
    <row r="44" spans="4:17" x14ac:dyDescent="0.25">
      <c r="D44" s="13">
        <v>42</v>
      </c>
      <c r="E44" s="18">
        <v>50.813611714252026</v>
      </c>
      <c r="F44" s="37">
        <f t="shared" si="5"/>
        <v>216553.52287978865</v>
      </c>
      <c r="G44" s="39">
        <f t="shared" si="8"/>
        <v>0.31235433993023781</v>
      </c>
      <c r="H44" s="40">
        <f t="shared" si="6"/>
        <v>62261.437649220919</v>
      </c>
      <c r="I44" s="40">
        <f t="shared" si="0"/>
        <v>-2947174.9945988357</v>
      </c>
      <c r="K44" s="38">
        <v>0.04</v>
      </c>
      <c r="L44" s="38">
        <f t="shared" si="3"/>
        <v>0.62261437649220919</v>
      </c>
      <c r="M44">
        <f t="shared" si="4"/>
        <v>0.25235433993023781</v>
      </c>
      <c r="N44">
        <f t="shared" si="1"/>
        <v>0.59961640517335568</v>
      </c>
      <c r="Q44" s="35">
        <f t="shared" si="7"/>
        <v>-3.2933973104773528E-2</v>
      </c>
    </row>
    <row r="45" spans="4:17" x14ac:dyDescent="0.25">
      <c r="D45" s="13">
        <v>43</v>
      </c>
      <c r="E45" s="18">
        <v>51.17826050204161</v>
      </c>
      <c r="F45" s="37">
        <f t="shared" si="5"/>
        <v>238962.3484087876</v>
      </c>
      <c r="G45" s="39">
        <f t="shared" si="8"/>
        <v>0.45553497175286584</v>
      </c>
      <c r="H45" s="40">
        <f t="shared" si="6"/>
        <v>67563.779301618852</v>
      </c>
      <c r="I45" s="40">
        <f t="shared" si="0"/>
        <v>-3218834.3491919092</v>
      </c>
      <c r="K45" s="38">
        <v>3.5000000000000003E-2</v>
      </c>
      <c r="L45" s="38">
        <f t="shared" si="3"/>
        <v>0.67563779301618854</v>
      </c>
      <c r="M45">
        <f t="shared" si="4"/>
        <v>0.39941011095125672</v>
      </c>
      <c r="N45">
        <f t="shared" si="1"/>
        <v>0.65520447746884003</v>
      </c>
      <c r="Q45" s="35">
        <f t="shared" si="7"/>
        <v>7.1505764840802399E-3</v>
      </c>
    </row>
    <row r="46" spans="4:17" x14ac:dyDescent="0.25">
      <c r="D46" s="13">
        <v>44</v>
      </c>
      <c r="E46" s="18">
        <v>52.256283059631308</v>
      </c>
      <c r="F46" s="37">
        <f t="shared" si="5"/>
        <v>311475.72704231704</v>
      </c>
      <c r="G46" s="39">
        <f t="shared" si="8"/>
        <v>0.88694719444776327</v>
      </c>
      <c r="H46" s="40">
        <f t="shared" si="6"/>
        <v>81244.633448856912</v>
      </c>
      <c r="I46" s="40">
        <f t="shared" si="0"/>
        <v>-3934066.8355371398</v>
      </c>
      <c r="K46" s="38">
        <v>0.03</v>
      </c>
      <c r="L46" s="38">
        <f t="shared" si="3"/>
        <v>0.81244633448856907</v>
      </c>
      <c r="M46">
        <f t="shared" si="4"/>
        <v>0.83498567022069692</v>
      </c>
      <c r="N46">
        <f t="shared" si="1"/>
        <v>0.79813711166221524</v>
      </c>
      <c r="Q46" s="35">
        <f t="shared" si="7"/>
        <v>2.0845291252531428E-2</v>
      </c>
    </row>
    <row r="47" spans="4:17" x14ac:dyDescent="0.25">
      <c r="D47" s="13">
        <v>45</v>
      </c>
      <c r="E47" s="18">
        <v>52.651333014763821</v>
      </c>
      <c r="F47" s="37">
        <f t="shared" si="5"/>
        <v>343177.98948650173</v>
      </c>
      <c r="G47" s="39">
        <f t="shared" si="8"/>
        <v>1.1235267103344955</v>
      </c>
      <c r="H47" s="40">
        <f t="shared" si="6"/>
        <v>86939.306846934691</v>
      </c>
      <c r="I47" s="40">
        <f t="shared" si="0"/>
        <v>-4234292.4073841935</v>
      </c>
      <c r="K47" s="38">
        <v>2.5000000000000001E-2</v>
      </c>
      <c r="L47" s="38">
        <f t="shared" si="3"/>
        <v>0.86939306846934694</v>
      </c>
      <c r="M47">
        <f t="shared" si="4"/>
        <v>1.0760925454319699</v>
      </c>
      <c r="N47">
        <f t="shared" si="1"/>
        <v>0.8590570653763927</v>
      </c>
      <c r="P47" s="19"/>
      <c r="Q47" s="35">
        <f t="shared" si="7"/>
        <v>7.5314231179728353E-3</v>
      </c>
    </row>
    <row r="48" spans="4:17" x14ac:dyDescent="0.25">
      <c r="D48" s="13">
        <v>46</v>
      </c>
      <c r="E48" s="18">
        <v>52.433773345537482</v>
      </c>
      <c r="F48" s="37">
        <f t="shared" si="5"/>
        <v>323840.05223320902</v>
      </c>
      <c r="G48" s="39">
        <f t="shared" si="8"/>
        <v>1.1508848232694895</v>
      </c>
      <c r="H48" s="40">
        <f t="shared" si="6"/>
        <v>87511.018886586113</v>
      </c>
      <c r="I48" s="40">
        <f t="shared" si="0"/>
        <v>-4264692.8773030974</v>
      </c>
      <c r="K48" s="38">
        <v>0.02</v>
      </c>
      <c r="L48" s="38">
        <f t="shared" si="3"/>
        <v>0.87511018886586112</v>
      </c>
      <c r="M48">
        <f t="shared" si="4"/>
        <v>1.1084584163982967</v>
      </c>
      <c r="N48">
        <f t="shared" si="1"/>
        <v>0.86616805578001299</v>
      </c>
      <c r="Q48" s="35">
        <f t="shared" si="7"/>
        <v>-4.1406434764867939E-3</v>
      </c>
    </row>
    <row r="49" spans="4:17" x14ac:dyDescent="0.25">
      <c r="D49" s="13">
        <v>47</v>
      </c>
      <c r="E49" s="18">
        <v>51.448214482773281</v>
      </c>
      <c r="F49" s="37">
        <f t="shared" si="5"/>
        <v>237166.30136810304</v>
      </c>
      <c r="G49" s="39">
        <f t="shared" si="8"/>
        <v>0.80364362703606684</v>
      </c>
      <c r="H49" s="40">
        <f t="shared" si="6"/>
        <v>78919.859017348368</v>
      </c>
      <c r="I49" s="40">
        <f t="shared" si="0"/>
        <v>-3823119.5323066651</v>
      </c>
      <c r="K49" s="38">
        <v>1.4999999999999999E-2</v>
      </c>
      <c r="L49" s="38">
        <f t="shared" si="3"/>
        <v>0.78919859017348371</v>
      </c>
      <c r="M49">
        <f t="shared" si="4"/>
        <v>0.76690128089431919</v>
      </c>
      <c r="N49">
        <f t="shared" si="1"/>
        <v>0.77842989397483353</v>
      </c>
      <c r="Q49" s="35">
        <f t="shared" si="7"/>
        <v>-1.8975155454743486E-2</v>
      </c>
    </row>
    <row r="50" spans="4:17" x14ac:dyDescent="0.25">
      <c r="D50" s="13">
        <v>48</v>
      </c>
      <c r="E50" s="18">
        <v>51.429425720749599</v>
      </c>
      <c r="F50" s="37">
        <f t="shared" si="5"/>
        <v>235301.16384861784</v>
      </c>
      <c r="G50" s="39">
        <f t="shared" si="8"/>
        <v>0.961249602184301</v>
      </c>
      <c r="H50" s="40">
        <f t="shared" si="6"/>
        <v>83178.665923195498</v>
      </c>
      <c r="I50" s="40">
        <f t="shared" si="0"/>
        <v>-4042529.8567994107</v>
      </c>
      <c r="K50" s="38">
        <v>0.01</v>
      </c>
      <c r="L50" s="38">
        <f t="shared" si="3"/>
        <v>0.83178665923195505</v>
      </c>
      <c r="M50">
        <f t="shared" si="4"/>
        <v>0.93124960218430097</v>
      </c>
      <c r="N50">
        <f t="shared" si="1"/>
        <v>0.82413776746689427</v>
      </c>
      <c r="Q50" s="35">
        <f t="shared" si="7"/>
        <v>-3.6526425363936355E-4</v>
      </c>
    </row>
    <row r="51" spans="4:17" x14ac:dyDescent="0.25">
      <c r="D51" s="13">
        <v>49</v>
      </c>
      <c r="E51" s="18">
        <v>53.570821436089929</v>
      </c>
      <c r="F51" s="37">
        <f t="shared" si="5"/>
        <v>413015.32946527022</v>
      </c>
      <c r="G51" s="39">
        <f t="shared" si="8"/>
        <v>3.2671415441877047</v>
      </c>
      <c r="H51" s="40">
        <f t="shared" si="6"/>
        <v>99945.680325866269</v>
      </c>
      <c r="I51" s="40">
        <f t="shared" si="0"/>
        <v>-4941156.8645802382</v>
      </c>
      <c r="K51" s="38">
        <v>5.0000000000000001E-3</v>
      </c>
      <c r="L51" s="38">
        <f t="shared" si="3"/>
        <v>0.99945680325866271</v>
      </c>
      <c r="M51">
        <f t="shared" si="4"/>
        <v>3.2459283407521085</v>
      </c>
      <c r="N51">
        <f t="shared" si="1"/>
        <v>0.99941465848408229</v>
      </c>
      <c r="Q51" s="35">
        <f t="shared" si="7"/>
        <v>4.0794050164213225E-2</v>
      </c>
    </row>
    <row r="52" spans="4:17" x14ac:dyDescent="0.25">
      <c r="D52" s="13">
        <v>50</v>
      </c>
      <c r="E52" s="18">
        <v>54.407872703516006</v>
      </c>
      <c r="F52" s="37">
        <f>F51+H51*(E52-E51)+I51*(EXP(0.02*1/200)-1)</f>
        <v>496180.847462732</v>
      </c>
      <c r="G52" s="17"/>
      <c r="H52" s="23"/>
      <c r="K52">
        <v>0</v>
      </c>
      <c r="Q52" s="35">
        <f t="shared" si="7"/>
        <v>1.5504318547883589E-2</v>
      </c>
    </row>
    <row r="53" spans="4:17" x14ac:dyDescent="0.25">
      <c r="D53" s="13"/>
    </row>
  </sheetData>
  <mergeCells count="1">
    <mergeCell ref="A1:B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showGridLines="0" workbookViewId="0">
      <pane ySplit="1" topLeftCell="A2" activePane="bottomLeft" state="frozen"/>
      <selection pane="bottomLeft" activeCell="E52" sqref="E2:E52"/>
    </sheetView>
  </sheetViews>
  <sheetFormatPr defaultRowHeight="15" x14ac:dyDescent="0.25"/>
  <cols>
    <col min="2" max="5" width="11" bestFit="1" customWidth="1"/>
    <col min="6" max="6" width="11" customWidth="1"/>
    <col min="7" max="7" width="12.28515625" customWidth="1"/>
    <col min="8" max="8" width="11" customWidth="1"/>
    <col min="9" max="9" width="17" customWidth="1"/>
  </cols>
  <sheetData>
    <row r="1" spans="1:10" ht="15.75" thickBot="1" x14ac:dyDescent="0.3">
      <c r="A1" s="14" t="s">
        <v>10</v>
      </c>
      <c r="B1" s="15" t="s">
        <v>20</v>
      </c>
      <c r="C1" s="15" t="s">
        <v>21</v>
      </c>
      <c r="D1" s="15" t="s">
        <v>22</v>
      </c>
      <c r="E1" s="15" t="s">
        <v>23</v>
      </c>
      <c r="F1" s="28"/>
      <c r="G1" s="28" t="s">
        <v>25</v>
      </c>
      <c r="H1" s="28"/>
      <c r="J1" s="28" t="s">
        <v>24</v>
      </c>
    </row>
    <row r="2" spans="1:10" x14ac:dyDescent="0.25">
      <c r="A2" s="13">
        <v>0</v>
      </c>
      <c r="B2" s="27">
        <v>50</v>
      </c>
      <c r="C2" s="27">
        <v>50</v>
      </c>
      <c r="D2" s="27">
        <v>50</v>
      </c>
      <c r="E2" s="18">
        <f>B2</f>
        <v>50</v>
      </c>
      <c r="F2" s="18"/>
      <c r="G2" s="18"/>
      <c r="H2" s="18"/>
    </row>
    <row r="3" spans="1:10" x14ac:dyDescent="0.25">
      <c r="A3" s="13">
        <f>A2+1</f>
        <v>1</v>
      </c>
      <c r="B3" s="27">
        <v>49.672465715244996</v>
      </c>
      <c r="C3" s="27">
        <v>49.177203383731211</v>
      </c>
      <c r="D3" s="27">
        <v>48.669909554736016</v>
      </c>
      <c r="E3" s="18">
        <v>47.64062831369759</v>
      </c>
      <c r="F3" s="18"/>
      <c r="G3" s="29"/>
      <c r="H3" s="18"/>
    </row>
    <row r="4" spans="1:10" x14ac:dyDescent="0.25">
      <c r="A4" s="13">
        <f t="shared" ref="A4:A52" si="0">A3+1</f>
        <v>2</v>
      </c>
      <c r="B4" s="27">
        <v>49.625614473172355</v>
      </c>
      <c r="C4" s="27">
        <v>49.818076106404433</v>
      </c>
      <c r="D4" s="27">
        <v>46.169336956490696</v>
      </c>
      <c r="E4" s="18">
        <v>49.449656477967586</v>
      </c>
      <c r="F4" s="18"/>
      <c r="G4" s="18"/>
      <c r="H4" s="18"/>
    </row>
    <row r="5" spans="1:10" x14ac:dyDescent="0.25">
      <c r="A5" s="13">
        <f t="shared" si="0"/>
        <v>3</v>
      </c>
      <c r="B5" s="27">
        <v>49.743893032161658</v>
      </c>
      <c r="C5" s="27">
        <v>51.179054758279193</v>
      </c>
      <c r="D5" s="27">
        <v>47.481015369525075</v>
      </c>
      <c r="E5" s="18">
        <v>49.372705397661939</v>
      </c>
      <c r="F5" s="18"/>
      <c r="G5" s="18"/>
      <c r="H5" s="18"/>
    </row>
    <row r="6" spans="1:10" x14ac:dyDescent="0.25">
      <c r="A6" s="13">
        <f t="shared" si="0"/>
        <v>4</v>
      </c>
      <c r="B6" s="27">
        <v>50.215641521980899</v>
      </c>
      <c r="C6" s="27">
        <v>50.332766680037551</v>
      </c>
      <c r="D6" s="27">
        <v>49.034295182217534</v>
      </c>
      <c r="E6" s="18">
        <v>49.947589215200104</v>
      </c>
      <c r="F6" s="18"/>
      <c r="G6" s="18"/>
      <c r="H6" s="18"/>
    </row>
    <row r="7" spans="1:10" x14ac:dyDescent="0.25">
      <c r="A7" s="13">
        <f t="shared" si="0"/>
        <v>5</v>
      </c>
      <c r="B7" s="27">
        <v>48.356971995721089</v>
      </c>
      <c r="C7" s="27">
        <v>52.61925563338847</v>
      </c>
      <c r="D7" s="27">
        <v>48.263273888045177</v>
      </c>
      <c r="E7" s="18">
        <v>47.819475123093028</v>
      </c>
      <c r="F7" s="18"/>
      <c r="G7" s="18"/>
      <c r="H7" s="18"/>
    </row>
    <row r="8" spans="1:10" x14ac:dyDescent="0.25">
      <c r="A8" s="13">
        <f t="shared" si="0"/>
        <v>6</v>
      </c>
      <c r="B8" s="27">
        <v>48.741614407655327</v>
      </c>
      <c r="C8" s="27">
        <v>54.685272283826414</v>
      </c>
      <c r="D8" s="27">
        <v>47.894760899666252</v>
      </c>
      <c r="E8" s="18">
        <v>44.883728671325834</v>
      </c>
      <c r="F8" s="18"/>
      <c r="G8" s="18"/>
      <c r="H8" s="18"/>
    </row>
    <row r="9" spans="1:10" x14ac:dyDescent="0.25">
      <c r="A9" s="13">
        <f t="shared" si="0"/>
        <v>7</v>
      </c>
      <c r="B9" s="27">
        <v>50.075533324711159</v>
      </c>
      <c r="C9" s="27">
        <v>56.008340590920142</v>
      </c>
      <c r="D9" s="27">
        <v>52.309946629148811</v>
      </c>
      <c r="E9" s="18">
        <v>47.05801754039981</v>
      </c>
      <c r="F9" s="18"/>
      <c r="G9" s="18"/>
      <c r="H9" s="18"/>
    </row>
    <row r="10" spans="1:10" x14ac:dyDescent="0.25">
      <c r="A10" s="13">
        <f t="shared" si="0"/>
        <v>8</v>
      </c>
      <c r="B10" s="27">
        <v>49.634212148496175</v>
      </c>
      <c r="C10" s="27">
        <v>56.069324980316836</v>
      </c>
      <c r="D10" s="27">
        <v>53.255408425171183</v>
      </c>
      <c r="E10" s="18">
        <v>45.955042770803338</v>
      </c>
      <c r="F10" s="18"/>
      <c r="G10" s="18"/>
      <c r="H10" s="18"/>
    </row>
    <row r="11" spans="1:10" x14ac:dyDescent="0.25">
      <c r="A11" s="13">
        <f t="shared" si="0"/>
        <v>9</v>
      </c>
      <c r="B11" s="27">
        <v>48.39204208630683</v>
      </c>
      <c r="C11" s="27">
        <v>56.525448027118088</v>
      </c>
      <c r="D11" s="27">
        <v>53.182812422691619</v>
      </c>
      <c r="E11" s="18">
        <v>47.55576980144096</v>
      </c>
      <c r="F11" s="18"/>
      <c r="G11" s="18"/>
      <c r="H11" s="18"/>
    </row>
    <row r="12" spans="1:10" x14ac:dyDescent="0.25">
      <c r="A12" s="13">
        <f t="shared" si="0"/>
        <v>10</v>
      </c>
      <c r="B12" s="27">
        <v>48.193660291379288</v>
      </c>
      <c r="C12" s="27">
        <v>56.388090333689135</v>
      </c>
      <c r="D12" s="27">
        <v>55.004762995807113</v>
      </c>
      <c r="E12" s="18">
        <v>47.329459779719372</v>
      </c>
      <c r="F12" s="18"/>
      <c r="G12" s="18"/>
      <c r="H12" s="18"/>
    </row>
    <row r="13" spans="1:10" x14ac:dyDescent="0.25">
      <c r="A13" s="13">
        <f t="shared" si="0"/>
        <v>11</v>
      </c>
      <c r="B13" s="27">
        <v>48.954316266096534</v>
      </c>
      <c r="C13" s="27">
        <v>55.187382019400445</v>
      </c>
      <c r="D13" s="27">
        <v>54.179705611660175</v>
      </c>
      <c r="E13" s="18">
        <v>46.027517597876155</v>
      </c>
      <c r="F13" s="18"/>
      <c r="G13" s="18"/>
      <c r="H13" s="18"/>
    </row>
    <row r="14" spans="1:10" x14ac:dyDescent="0.25">
      <c r="A14" s="13">
        <f t="shared" si="0"/>
        <v>12</v>
      </c>
      <c r="B14" s="27">
        <v>48.572177652589978</v>
      </c>
      <c r="C14" s="27">
        <v>55.611356879786555</v>
      </c>
      <c r="D14" s="27">
        <v>52.222247206179141</v>
      </c>
      <c r="E14" s="18">
        <v>45.262779462569448</v>
      </c>
      <c r="F14" s="18"/>
      <c r="G14" s="18"/>
      <c r="H14" s="18"/>
    </row>
    <row r="15" spans="1:10" x14ac:dyDescent="0.25">
      <c r="A15" s="13">
        <f t="shared" si="0"/>
        <v>13</v>
      </c>
      <c r="B15" s="27">
        <v>48.337507756341211</v>
      </c>
      <c r="C15" s="27">
        <v>55.943078537374269</v>
      </c>
      <c r="D15" s="27">
        <v>54.679047427123194</v>
      </c>
      <c r="E15" s="18">
        <v>46.093492043943826</v>
      </c>
      <c r="F15" s="18"/>
      <c r="G15" s="18"/>
      <c r="H15" s="18"/>
    </row>
    <row r="16" spans="1:10" x14ac:dyDescent="0.25">
      <c r="A16" s="13">
        <f t="shared" si="0"/>
        <v>14</v>
      </c>
      <c r="B16" s="27">
        <v>49.020045514664034</v>
      </c>
      <c r="C16" s="27">
        <v>57.200344882802348</v>
      </c>
      <c r="D16" s="27">
        <v>54.70252699636859</v>
      </c>
      <c r="E16" s="18">
        <v>47.44439265589326</v>
      </c>
      <c r="F16" s="18"/>
      <c r="G16" s="18"/>
      <c r="H16" s="18"/>
    </row>
    <row r="17" spans="1:8" x14ac:dyDescent="0.25">
      <c r="A17" s="13">
        <f t="shared" si="0"/>
        <v>15</v>
      </c>
      <c r="B17" s="27">
        <v>48.848217325272635</v>
      </c>
      <c r="C17" s="27">
        <v>56.783299628797472</v>
      </c>
      <c r="D17" s="27">
        <v>56.244611679083491</v>
      </c>
      <c r="E17" s="18">
        <v>46.530334504925413</v>
      </c>
      <c r="F17" s="18"/>
      <c r="G17" s="18"/>
      <c r="H17" s="18"/>
    </row>
    <row r="18" spans="1:8" x14ac:dyDescent="0.25">
      <c r="A18" s="13">
        <f t="shared" si="0"/>
        <v>16</v>
      </c>
      <c r="B18" s="27">
        <v>49.449221094933286</v>
      </c>
      <c r="C18" s="27">
        <v>54.863529399670036</v>
      </c>
      <c r="D18" s="27">
        <v>56.797634898174024</v>
      </c>
      <c r="E18" s="18">
        <v>45.97499390421887</v>
      </c>
      <c r="F18" s="18"/>
      <c r="G18" s="18"/>
      <c r="H18" s="18"/>
    </row>
    <row r="19" spans="1:8" x14ac:dyDescent="0.25">
      <c r="A19" s="13">
        <f t="shared" si="0"/>
        <v>17</v>
      </c>
      <c r="B19" s="27">
        <v>49.460768098458537</v>
      </c>
      <c r="C19" s="27">
        <v>54.873639390653928</v>
      </c>
      <c r="D19" s="27">
        <v>55.975341768358703</v>
      </c>
      <c r="E19" s="18">
        <v>47.40840026864494</v>
      </c>
      <c r="F19" s="18"/>
      <c r="G19" s="18"/>
      <c r="H19" s="18"/>
    </row>
    <row r="20" spans="1:8" x14ac:dyDescent="0.25">
      <c r="A20" s="13">
        <f t="shared" si="0"/>
        <v>18</v>
      </c>
      <c r="B20" s="27">
        <v>48.4779456956948</v>
      </c>
      <c r="C20" s="27">
        <v>53.033929681753484</v>
      </c>
      <c r="D20" s="27">
        <v>59.58011840480998</v>
      </c>
      <c r="E20" s="18">
        <v>48.826834109534097</v>
      </c>
      <c r="F20" s="18"/>
      <c r="G20" s="18"/>
      <c r="H20" s="18"/>
    </row>
    <row r="21" spans="1:8" x14ac:dyDescent="0.25">
      <c r="A21" s="13">
        <f t="shared" si="0"/>
        <v>19</v>
      </c>
      <c r="B21" s="27">
        <v>47.870401505064414</v>
      </c>
      <c r="C21" s="27">
        <v>52.669933913836729</v>
      </c>
      <c r="D21" s="27">
        <v>58.860414533346365</v>
      </c>
      <c r="E21" s="18">
        <v>48.490075296250552</v>
      </c>
      <c r="F21" s="18"/>
      <c r="G21" s="18"/>
      <c r="H21" s="18"/>
    </row>
    <row r="22" spans="1:8" x14ac:dyDescent="0.25">
      <c r="A22" s="13">
        <f t="shared" si="0"/>
        <v>20</v>
      </c>
      <c r="B22" s="27">
        <v>46.505392583838749</v>
      </c>
      <c r="C22" s="27">
        <v>52.526642414850777</v>
      </c>
      <c r="D22" s="27">
        <v>57.76969251766814</v>
      </c>
      <c r="E22" s="18">
        <v>48.779425663980156</v>
      </c>
      <c r="F22" s="18"/>
      <c r="G22" s="18"/>
      <c r="H22" s="18"/>
    </row>
    <row r="23" spans="1:8" x14ac:dyDescent="0.25">
      <c r="A23" s="13">
        <f t="shared" si="0"/>
        <v>21</v>
      </c>
      <c r="B23" s="27">
        <v>48.547953424348307</v>
      </c>
      <c r="C23" s="27">
        <v>51.932710638205215</v>
      </c>
      <c r="D23" s="27">
        <v>56.1747926919466</v>
      </c>
      <c r="E23" s="18">
        <v>47.537936165490201</v>
      </c>
      <c r="F23" s="18"/>
      <c r="G23" s="18"/>
      <c r="H23" s="18"/>
    </row>
    <row r="24" spans="1:8" x14ac:dyDescent="0.25">
      <c r="A24" s="13">
        <f t="shared" si="0"/>
        <v>22</v>
      </c>
      <c r="B24" s="27">
        <v>47.95620894064681</v>
      </c>
      <c r="C24" s="27">
        <v>54.012795749454973</v>
      </c>
      <c r="D24" s="27">
        <v>57.658202824051749</v>
      </c>
      <c r="E24" s="18">
        <v>49.68253369277322</v>
      </c>
      <c r="F24" s="18"/>
      <c r="G24" s="18"/>
      <c r="H24" s="18"/>
    </row>
    <row r="25" spans="1:8" x14ac:dyDescent="0.25">
      <c r="A25" s="13">
        <f t="shared" si="0"/>
        <v>23</v>
      </c>
      <c r="B25" s="27">
        <v>48.256848585207223</v>
      </c>
      <c r="C25" s="27">
        <v>51.510769702463499</v>
      </c>
      <c r="D25" s="27">
        <v>60.225732091857637</v>
      </c>
      <c r="E25" s="18">
        <v>48.73649899274497</v>
      </c>
      <c r="F25" s="18"/>
      <c r="G25" s="18"/>
      <c r="H25" s="18"/>
    </row>
    <row r="26" spans="1:8" x14ac:dyDescent="0.25">
      <c r="A26" s="13">
        <f t="shared" si="0"/>
        <v>24</v>
      </c>
      <c r="B26" s="27">
        <v>47.736248116816341</v>
      </c>
      <c r="C26" s="27">
        <v>51.92709992353214</v>
      </c>
      <c r="D26" s="27">
        <v>57.678412831982378</v>
      </c>
      <c r="E26" s="18">
        <v>45.879068373694302</v>
      </c>
      <c r="F26" s="18"/>
      <c r="G26" s="18"/>
      <c r="H26" s="18"/>
    </row>
    <row r="27" spans="1:8" x14ac:dyDescent="0.25">
      <c r="A27" s="13">
        <f t="shared" si="0"/>
        <v>25</v>
      </c>
      <c r="B27" s="27">
        <v>48.801611041234104</v>
      </c>
      <c r="C27" s="27">
        <v>52.240776306307183</v>
      </c>
      <c r="D27" s="27">
        <v>60.368030670611553</v>
      </c>
      <c r="E27" s="18">
        <v>45.243282322273323</v>
      </c>
      <c r="F27" s="18"/>
      <c r="G27" s="18"/>
      <c r="H27" s="18"/>
    </row>
    <row r="28" spans="1:8" x14ac:dyDescent="0.25">
      <c r="A28" s="13">
        <f t="shared" si="0"/>
        <v>26</v>
      </c>
      <c r="B28" s="27">
        <v>48.310825162322757</v>
      </c>
      <c r="C28" s="27">
        <v>52.326767299547164</v>
      </c>
      <c r="D28" s="27">
        <v>61.000989747117231</v>
      </c>
      <c r="E28" s="18">
        <v>45.528372580028908</v>
      </c>
      <c r="F28" s="18"/>
      <c r="G28" s="18"/>
      <c r="H28" s="18"/>
    </row>
    <row r="29" spans="1:8" x14ac:dyDescent="0.25">
      <c r="A29" s="13">
        <f t="shared" si="0"/>
        <v>27</v>
      </c>
      <c r="B29" s="27">
        <v>49.15790979236899</v>
      </c>
      <c r="C29" s="27">
        <v>50.264426600929255</v>
      </c>
      <c r="D29" s="27">
        <v>63.672238634098292</v>
      </c>
      <c r="E29" s="18">
        <v>45.092399092273006</v>
      </c>
      <c r="F29" s="18"/>
      <c r="G29" s="18"/>
      <c r="H29" s="18"/>
    </row>
    <row r="30" spans="1:8" x14ac:dyDescent="0.25">
      <c r="A30" s="13">
        <f t="shared" si="0"/>
        <v>28</v>
      </c>
      <c r="B30" s="27">
        <v>48.184502988632474</v>
      </c>
      <c r="C30" s="27">
        <v>50.873437971361099</v>
      </c>
      <c r="D30" s="27">
        <v>65.224768387505492</v>
      </c>
      <c r="E30" s="18">
        <v>45.518328988091753</v>
      </c>
      <c r="F30" s="18"/>
      <c r="G30" s="18"/>
      <c r="H30" s="18"/>
    </row>
    <row r="31" spans="1:8" x14ac:dyDescent="0.25">
      <c r="A31" s="13">
        <f t="shared" si="0"/>
        <v>29</v>
      </c>
      <c r="B31" s="27">
        <v>47.645596459024162</v>
      </c>
      <c r="C31" s="27">
        <v>50.347026637568177</v>
      </c>
      <c r="D31" s="27">
        <v>64.171367455047843</v>
      </c>
      <c r="E31" s="18">
        <v>46.32054563194599</v>
      </c>
      <c r="F31" s="18"/>
      <c r="G31" s="18"/>
      <c r="H31" s="18"/>
    </row>
    <row r="32" spans="1:8" x14ac:dyDescent="0.25">
      <c r="A32" s="13">
        <f t="shared" si="0"/>
        <v>30</v>
      </c>
      <c r="B32" s="27">
        <v>46.190907018377914</v>
      </c>
      <c r="C32" s="27">
        <v>52.61232816791572</v>
      </c>
      <c r="D32" s="27">
        <v>64.355931148955875</v>
      </c>
      <c r="E32" s="18">
        <v>47.013610042221558</v>
      </c>
      <c r="F32" s="18"/>
      <c r="G32" s="18"/>
      <c r="H32" s="18"/>
    </row>
    <row r="33" spans="1:8" x14ac:dyDescent="0.25">
      <c r="A33" s="13">
        <f t="shared" si="0"/>
        <v>31</v>
      </c>
      <c r="B33" s="27">
        <v>46.168825079953301</v>
      </c>
      <c r="C33" s="27">
        <v>51.995207310333718</v>
      </c>
      <c r="D33" s="27">
        <v>66.475118235295795</v>
      </c>
      <c r="E33" s="18">
        <v>45.794580373871192</v>
      </c>
      <c r="F33" s="18"/>
      <c r="G33" s="18"/>
      <c r="H33" s="18"/>
    </row>
    <row r="34" spans="1:8" x14ac:dyDescent="0.25">
      <c r="A34" s="13">
        <f t="shared" si="0"/>
        <v>32</v>
      </c>
      <c r="B34" s="27">
        <v>46.047138328557949</v>
      </c>
      <c r="C34" s="27">
        <v>51.608898025771232</v>
      </c>
      <c r="D34" s="27">
        <v>64.081155236851544</v>
      </c>
      <c r="E34" s="18">
        <v>43.758910656661776</v>
      </c>
      <c r="F34" s="18"/>
      <c r="G34" s="18"/>
      <c r="H34" s="18"/>
    </row>
    <row r="35" spans="1:8" x14ac:dyDescent="0.25">
      <c r="A35" s="13">
        <f t="shared" si="0"/>
        <v>33</v>
      </c>
      <c r="B35" s="27">
        <v>46.283890366069592</v>
      </c>
      <c r="C35" s="27">
        <v>51.098204918146209</v>
      </c>
      <c r="D35" s="27">
        <v>65.926260307866556</v>
      </c>
      <c r="E35" s="18">
        <v>42.878352000338722</v>
      </c>
      <c r="F35" s="18"/>
      <c r="G35" s="18"/>
      <c r="H35" s="18"/>
    </row>
    <row r="36" spans="1:8" x14ac:dyDescent="0.25">
      <c r="A36" s="13">
        <f t="shared" si="0"/>
        <v>34</v>
      </c>
      <c r="B36" s="27">
        <v>44.471715953409266</v>
      </c>
      <c r="C36" s="27">
        <v>50.68745061805911</v>
      </c>
      <c r="D36" s="27">
        <v>65.474087559712913</v>
      </c>
      <c r="E36" s="18">
        <v>41.824473284639133</v>
      </c>
      <c r="F36" s="18"/>
      <c r="G36" s="18"/>
      <c r="H36" s="18"/>
    </row>
    <row r="37" spans="1:8" x14ac:dyDescent="0.25">
      <c r="A37" s="13">
        <f t="shared" si="0"/>
        <v>35</v>
      </c>
      <c r="B37" s="27">
        <v>44.022586501290881</v>
      </c>
      <c r="C37" s="27">
        <v>49.912454144425212</v>
      </c>
      <c r="D37" s="27">
        <v>65.695142010620415</v>
      </c>
      <c r="E37" s="18">
        <v>44.190814525110447</v>
      </c>
      <c r="F37" s="18"/>
      <c r="G37" s="18"/>
      <c r="H37" s="18"/>
    </row>
    <row r="38" spans="1:8" x14ac:dyDescent="0.25">
      <c r="A38" s="13">
        <f t="shared" si="0"/>
        <v>36</v>
      </c>
      <c r="B38" s="27">
        <v>43.001732807217408</v>
      </c>
      <c r="C38" s="27">
        <v>50.155477153125524</v>
      </c>
      <c r="D38" s="27">
        <v>62.346014594209088</v>
      </c>
      <c r="E38" s="18">
        <v>43.010856575610127</v>
      </c>
      <c r="F38" s="18"/>
      <c r="G38" s="18"/>
      <c r="H38" s="18"/>
    </row>
    <row r="39" spans="1:8" x14ac:dyDescent="0.25">
      <c r="A39" s="13">
        <f t="shared" si="0"/>
        <v>37</v>
      </c>
      <c r="B39" s="27">
        <v>42.589382033967823</v>
      </c>
      <c r="C39" s="27">
        <v>50.717291350044995</v>
      </c>
      <c r="D39" s="27">
        <v>58.918220252505854</v>
      </c>
      <c r="E39" s="18">
        <v>43.463192149142948</v>
      </c>
      <c r="F39" s="18"/>
      <c r="G39" s="18"/>
      <c r="H39" s="18"/>
    </row>
    <row r="40" spans="1:8" x14ac:dyDescent="0.25">
      <c r="A40" s="13">
        <f t="shared" si="0"/>
        <v>38</v>
      </c>
      <c r="B40" s="27">
        <v>43.226927429506745</v>
      </c>
      <c r="C40" s="27">
        <v>50.050109110069663</v>
      </c>
      <c r="D40" s="27">
        <v>60.953680798721876</v>
      </c>
      <c r="E40" s="18">
        <v>45.094414345753684</v>
      </c>
      <c r="F40" s="18"/>
      <c r="G40" s="18"/>
      <c r="H40" s="18"/>
    </row>
    <row r="41" spans="1:8" x14ac:dyDescent="0.25">
      <c r="A41" s="13">
        <f t="shared" si="0"/>
        <v>39</v>
      </c>
      <c r="B41" s="27">
        <v>43.52026539833895</v>
      </c>
      <c r="C41" s="27">
        <v>50.245970940060545</v>
      </c>
      <c r="D41" s="27">
        <v>65.731220769996611</v>
      </c>
      <c r="E41" s="18">
        <v>44.286174592544477</v>
      </c>
      <c r="F41" s="18"/>
      <c r="G41" s="18"/>
      <c r="H41" s="18"/>
    </row>
    <row r="42" spans="1:8" x14ac:dyDescent="0.25">
      <c r="A42" s="13">
        <f t="shared" si="0"/>
        <v>40</v>
      </c>
      <c r="B42" s="27">
        <v>45.202903045601992</v>
      </c>
      <c r="C42" s="27">
        <v>50.446709437546751</v>
      </c>
      <c r="D42" s="27">
        <v>61.062636483214987</v>
      </c>
      <c r="E42" s="18">
        <v>43.434827518387614</v>
      </c>
      <c r="F42" s="18"/>
      <c r="G42" s="18"/>
      <c r="H42" s="18"/>
    </row>
    <row r="43" spans="1:8" x14ac:dyDescent="0.25">
      <c r="A43" s="13">
        <f t="shared" si="0"/>
        <v>41</v>
      </c>
      <c r="B43" s="27">
        <v>46.112444715097141</v>
      </c>
      <c r="C43" s="27">
        <v>53.024136529819785</v>
      </c>
      <c r="D43" s="27">
        <v>61.90703185617911</v>
      </c>
      <c r="E43" s="18">
        <v>44.316475153360322</v>
      </c>
      <c r="F43" s="18"/>
      <c r="G43" s="18"/>
      <c r="H43" s="18"/>
    </row>
    <row r="44" spans="1:8" x14ac:dyDescent="0.25">
      <c r="A44" s="13">
        <f t="shared" si="0"/>
        <v>42</v>
      </c>
      <c r="B44" s="27">
        <v>46.239706230368689</v>
      </c>
      <c r="C44" s="27">
        <v>54.715730181533949</v>
      </c>
      <c r="D44" s="27">
        <v>65.677620907117387</v>
      </c>
      <c r="E44" s="18">
        <v>45.164168714234002</v>
      </c>
      <c r="F44" s="18"/>
      <c r="G44" s="18"/>
      <c r="H44" s="18"/>
    </row>
    <row r="45" spans="1:8" x14ac:dyDescent="0.25">
      <c r="A45" s="13">
        <f t="shared" si="0"/>
        <v>43</v>
      </c>
      <c r="B45" s="27">
        <v>46.500615070141016</v>
      </c>
      <c r="C45" s="27">
        <v>53.931588571639189</v>
      </c>
      <c r="D45" s="27">
        <v>62.972188553462196</v>
      </c>
      <c r="E45" s="18">
        <v>44.765752811333975</v>
      </c>
      <c r="F45" s="18"/>
      <c r="G45" s="18"/>
      <c r="H45" s="18"/>
    </row>
    <row r="46" spans="1:8" x14ac:dyDescent="0.25">
      <c r="A46" s="13">
        <f t="shared" si="0"/>
        <v>44</v>
      </c>
      <c r="B46" s="27">
        <v>45.637705287548904</v>
      </c>
      <c r="C46" s="27">
        <v>54.938752102750172</v>
      </c>
      <c r="D46" s="27">
        <v>62.289091359858304</v>
      </c>
      <c r="E46" s="18">
        <v>43.460748451876036</v>
      </c>
      <c r="F46" s="18"/>
      <c r="G46" s="18"/>
      <c r="H46" s="18"/>
    </row>
    <row r="47" spans="1:8" x14ac:dyDescent="0.25">
      <c r="A47" s="13">
        <f t="shared" si="0"/>
        <v>45</v>
      </c>
      <c r="B47" s="27">
        <v>46.900959958751521</v>
      </c>
      <c r="C47" s="27">
        <v>55.799154555160648</v>
      </c>
      <c r="D47" s="27">
        <v>62.216672392706016</v>
      </c>
      <c r="E47" s="18">
        <v>43.641488833844775</v>
      </c>
      <c r="F47" s="18"/>
      <c r="G47" s="18"/>
      <c r="H47" s="18"/>
    </row>
    <row r="48" spans="1:8" x14ac:dyDescent="0.25">
      <c r="A48" s="13">
        <f t="shared" si="0"/>
        <v>46</v>
      </c>
      <c r="B48" s="27">
        <v>46.428244713304039</v>
      </c>
      <c r="C48" s="27">
        <v>55.516533913614907</v>
      </c>
      <c r="D48" s="27">
        <v>65.067232008956992</v>
      </c>
      <c r="E48" s="18">
        <v>42.177718668782376</v>
      </c>
      <c r="F48" s="18"/>
      <c r="G48" s="18"/>
      <c r="H48" s="18"/>
    </row>
    <row r="49" spans="1:8" x14ac:dyDescent="0.25">
      <c r="A49" s="13">
        <f t="shared" si="0"/>
        <v>47</v>
      </c>
      <c r="B49" s="27">
        <v>46.673851062189641</v>
      </c>
      <c r="C49" s="27">
        <v>55.901504136887262</v>
      </c>
      <c r="D49" s="27">
        <v>62.870612084247767</v>
      </c>
      <c r="E49" s="18">
        <v>41.421211584057616</v>
      </c>
      <c r="F49" s="18"/>
      <c r="G49" s="18"/>
      <c r="H49" s="18"/>
    </row>
    <row r="50" spans="1:8" x14ac:dyDescent="0.25">
      <c r="A50" s="13">
        <f t="shared" si="0"/>
        <v>48</v>
      </c>
      <c r="B50" s="27">
        <v>46.912451413959054</v>
      </c>
      <c r="C50" s="27">
        <v>55.875774110176827</v>
      </c>
      <c r="D50" s="27">
        <v>64.952436746888267</v>
      </c>
      <c r="E50" s="18">
        <v>42.651675290446697</v>
      </c>
      <c r="F50" s="18"/>
      <c r="G50" s="18"/>
      <c r="H50" s="18"/>
    </row>
    <row r="51" spans="1:8" x14ac:dyDescent="0.25">
      <c r="A51" s="13">
        <f t="shared" si="0"/>
        <v>49</v>
      </c>
      <c r="B51" s="27">
        <v>47.637728786489639</v>
      </c>
      <c r="C51" s="27">
        <v>55.864382783416914</v>
      </c>
      <c r="D51" s="27">
        <v>65.82594192430598</v>
      </c>
      <c r="E51" s="18">
        <v>43.143706721705264</v>
      </c>
      <c r="F51" s="18"/>
      <c r="G51" s="18"/>
      <c r="H51" s="18"/>
    </row>
    <row r="52" spans="1:8" x14ac:dyDescent="0.25">
      <c r="A52" s="13">
        <f t="shared" si="0"/>
        <v>50</v>
      </c>
      <c r="B52" s="27">
        <v>48.20899898901672</v>
      </c>
      <c r="C52" s="27">
        <v>54.555657698671851</v>
      </c>
      <c r="D52" s="27">
        <v>64.036908873628676</v>
      </c>
      <c r="E52" s="18">
        <v>42.999051889622208</v>
      </c>
      <c r="F52" s="18"/>
      <c r="G52" s="18"/>
      <c r="H52" s="18"/>
    </row>
    <row r="53" spans="1:8" x14ac:dyDescent="0.25">
      <c r="A53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0A62-2A67-4670-8909-2B07758D913F}">
  <dimension ref="A1:S53"/>
  <sheetViews>
    <sheetView showGridLines="0" zoomScale="90" zoomScaleNormal="90" workbookViewId="0">
      <pane ySplit="11" topLeftCell="A12" activePane="bottomLeft" state="frozen"/>
      <selection pane="bottomLeft" activeCell="B12" sqref="B12"/>
    </sheetView>
  </sheetViews>
  <sheetFormatPr defaultRowHeight="15" x14ac:dyDescent="0.25"/>
  <cols>
    <col min="1" max="1" width="20.85546875" bestFit="1" customWidth="1"/>
    <col min="2" max="2" width="14.42578125" customWidth="1"/>
    <col min="5" max="5" width="10.5703125" bestFit="1" customWidth="1"/>
    <col min="6" max="6" width="14.5703125" bestFit="1" customWidth="1"/>
    <col min="7" max="7" width="27" customWidth="1"/>
    <col min="8" max="8" width="12.5703125" bestFit="1" customWidth="1"/>
    <col min="9" max="9" width="22.28515625" bestFit="1" customWidth="1"/>
    <col min="10" max="10" width="12" bestFit="1" customWidth="1"/>
    <col min="11" max="11" width="16.85546875" customWidth="1"/>
    <col min="12" max="12" width="12.42578125" customWidth="1"/>
    <col min="16" max="16" width="10.85546875" customWidth="1"/>
    <col min="18" max="18" width="18.42578125" bestFit="1" customWidth="1"/>
    <col min="19" max="19" width="18" bestFit="1" customWidth="1"/>
  </cols>
  <sheetData>
    <row r="1" spans="1:19" ht="15.75" thickBot="1" x14ac:dyDescent="0.3">
      <c r="A1" s="56" t="s">
        <v>5</v>
      </c>
      <c r="B1" s="57"/>
      <c r="D1" s="14" t="s">
        <v>10</v>
      </c>
      <c r="E1" s="15" t="s">
        <v>7</v>
      </c>
      <c r="F1" s="15" t="s">
        <v>12</v>
      </c>
      <c r="G1" s="15" t="s">
        <v>11</v>
      </c>
      <c r="H1" s="15" t="s">
        <v>8</v>
      </c>
      <c r="I1" s="16" t="s">
        <v>9</v>
      </c>
      <c r="K1" s="28" t="s">
        <v>28</v>
      </c>
      <c r="L1" s="28" t="s">
        <v>27</v>
      </c>
      <c r="M1" s="28" t="s">
        <v>29</v>
      </c>
      <c r="N1" s="28" t="s">
        <v>30</v>
      </c>
      <c r="O1" s="28" t="s">
        <v>26</v>
      </c>
      <c r="R1" s="14" t="s">
        <v>19</v>
      </c>
      <c r="S1" s="24" t="s">
        <v>18</v>
      </c>
    </row>
    <row r="2" spans="1:19" ht="15.75" thickBot="1" x14ac:dyDescent="0.3">
      <c r="A2" s="1" t="s">
        <v>0</v>
      </c>
      <c r="B2" s="2">
        <v>50</v>
      </c>
      <c r="D2" s="13">
        <v>0</v>
      </c>
      <c r="E2" s="27">
        <v>50</v>
      </c>
      <c r="F2" s="37">
        <f>O2*100000</f>
        <v>310815.12162064441</v>
      </c>
      <c r="G2" s="39">
        <f>((0.02+(0.3^2)/2)*0.25)/(0.3*SQRT(0.25))</f>
        <v>0.10833333333333334</v>
      </c>
      <c r="H2" s="40">
        <f>L2*100000</f>
        <v>54313.435898599892</v>
      </c>
      <c r="I2" s="40">
        <f>F2-(H2*E2)</f>
        <v>-2404856.6733093504</v>
      </c>
      <c r="K2" s="38">
        <v>0.25</v>
      </c>
      <c r="L2" s="38">
        <f>_xlfn.NORM.DIST(G2,0,1,TRUE)</f>
        <v>0.54313435898599893</v>
      </c>
      <c r="M2">
        <f>G2-(0.3*SQRT(K2))</f>
        <v>-4.1666666666666657E-2</v>
      </c>
      <c r="N2">
        <f>_xlfn.NORM.DIST(M2,0,1,TRUE)</f>
        <v>0.48338221350963662</v>
      </c>
      <c r="O2" s="38">
        <f>(E2*L2)-50*EXP(-0.02*K2)*N2</f>
        <v>3.1081512162064442</v>
      </c>
      <c r="Q2" s="14" t="s">
        <v>17</v>
      </c>
      <c r="R2" s="25">
        <v>0.33794342711050412</v>
      </c>
      <c r="S2" s="26">
        <v>0.24901388231924659</v>
      </c>
    </row>
    <row r="3" spans="1:19" x14ac:dyDescent="0.25">
      <c r="A3" s="3" t="s">
        <v>1</v>
      </c>
      <c r="B3" s="4">
        <v>0.25</v>
      </c>
      <c r="D3" s="13">
        <v>1</v>
      </c>
      <c r="E3" s="27">
        <v>49.672465715244996</v>
      </c>
      <c r="F3" s="37">
        <f>F2+H2*(E3-E2)+I2*(EXP(0.02*1/200)-1)</f>
        <v>292785.11154899455</v>
      </c>
      <c r="G3" s="39">
        <f t="shared" ref="G3:G8" si="0">((LN(E3/50)+((0.02+(0.3^2)/2)*K3))/(0.3*SQRT(K3)))</f>
        <v>6.2984791719816122E-2</v>
      </c>
      <c r="H3" s="40">
        <f>L3*100000</f>
        <v>52511.069263826568</v>
      </c>
      <c r="I3" s="40">
        <f t="shared" ref="I3:I51" si="1">F3-(H3*E3)</f>
        <v>-2315569.1761292857</v>
      </c>
      <c r="J3" s="36"/>
      <c r="K3" s="38">
        <v>0.245</v>
      </c>
      <c r="L3" s="38">
        <f>_xlfn.NORM.DIST(G3,0,1,TRUE)</f>
        <v>0.52511069263826571</v>
      </c>
      <c r="M3">
        <f>G3-(0.3*SQRT(K3))</f>
        <v>-8.550763232935886E-2</v>
      </c>
      <c r="N3">
        <f t="shared" ref="N3:N51" si="2">_xlfn.NORM.DIST(M3,0,1,TRUE)</f>
        <v>0.46592891398749892</v>
      </c>
      <c r="O3" s="38"/>
      <c r="P3" s="34">
        <f>LN(E3)-LN(E2)</f>
        <v>-6.5722355992918757E-3</v>
      </c>
      <c r="Q3" s="35">
        <f>LN(E3)-LN(E2)</f>
        <v>-6.5722355992918757E-3</v>
      </c>
      <c r="R3" s="30">
        <f>(AVERAGE(Q3:Q52))*200</f>
        <v>-0.14590920312445199</v>
      </c>
      <c r="S3" s="31">
        <f>(STDEVA(Q3:Q52))*(SQRT(50*4))</f>
        <v>0.25421131332423813</v>
      </c>
    </row>
    <row r="4" spans="1:19" x14ac:dyDescent="0.25">
      <c r="A4" s="3" t="s">
        <v>2</v>
      </c>
      <c r="B4" s="5">
        <v>0.3</v>
      </c>
      <c r="D4" s="13">
        <v>2</v>
      </c>
      <c r="E4" s="27">
        <v>49.625614473172355</v>
      </c>
      <c r="F4" s="37">
        <f>F3+H3*(E4-E3)+I3*(EXP(0.02*1/200)-1)</f>
        <v>290093.33423557691</v>
      </c>
      <c r="G4" s="39">
        <f t="shared" si="0"/>
        <v>5.5005441148813984E-2</v>
      </c>
      <c r="H4" s="40">
        <f>L4*100000</f>
        <v>52193.293552610645</v>
      </c>
      <c r="I4" s="40">
        <f t="shared" si="1"/>
        <v>-2300030.9296913911</v>
      </c>
      <c r="J4" s="36"/>
      <c r="K4" s="38">
        <v>0.24</v>
      </c>
      <c r="L4" s="38">
        <f>_xlfn.NORM.DIST(G4,0,1,TRUE)</f>
        <v>0.52193293552610642</v>
      </c>
      <c r="M4">
        <f>G4-(0.3*SQRT(K4))</f>
        <v>-9.1963943418176708E-2</v>
      </c>
      <c r="N4">
        <f t="shared" si="2"/>
        <v>0.46336334356862852</v>
      </c>
      <c r="P4" s="33"/>
      <c r="Q4" s="35">
        <f>LN(E4)-LN(E3)</f>
        <v>-9.4364856723094803E-4</v>
      </c>
    </row>
    <row r="5" spans="1:19" x14ac:dyDescent="0.25">
      <c r="A5" s="3" t="s">
        <v>3</v>
      </c>
      <c r="B5" s="6">
        <v>0.02</v>
      </c>
      <c r="D5" s="13">
        <v>3</v>
      </c>
      <c r="E5" s="27">
        <v>49.743893032161658</v>
      </c>
      <c r="F5" s="37">
        <f>F4+H4*(E5-E4)+I4*(EXP(0.02*1/200)-1)</f>
        <v>296036.66719237814</v>
      </c>
      <c r="G5" s="39">
        <f t="shared" si="0"/>
        <v>6.9721996346928578E-2</v>
      </c>
      <c r="H5" s="40">
        <f>L5*100000</f>
        <v>52779.253308468884</v>
      </c>
      <c r="I5" s="40">
        <f>F5-(H5*E5)</f>
        <v>-2329408.8637014623</v>
      </c>
      <c r="K5" s="38">
        <v>0.23499999999999999</v>
      </c>
      <c r="L5" s="38">
        <f t="shared" ref="L5:L51" si="3">_xlfn.NORM.DIST(G5,0,1,TRUE)</f>
        <v>0.52779253308468888</v>
      </c>
      <c r="M5">
        <f t="shared" ref="M5:M51" si="4">G5-(0.3*SQRT(K5))</f>
        <v>-7.5708399375561286E-2</v>
      </c>
      <c r="N5">
        <f t="shared" si="2"/>
        <v>0.46982554671990201</v>
      </c>
      <c r="Q5" s="35">
        <f>LN(E5)-LN(E4)</f>
        <v>2.3805816858186724E-3</v>
      </c>
    </row>
    <row r="6" spans="1:19" x14ac:dyDescent="0.25">
      <c r="A6" s="7" t="s">
        <v>4</v>
      </c>
      <c r="B6" s="8">
        <v>50</v>
      </c>
      <c r="D6" s="13">
        <v>4</v>
      </c>
      <c r="E6" s="27">
        <v>50.215641521980899</v>
      </c>
      <c r="F6" s="37">
        <f>F5+H5*(E6-E5)+I5*(EXP(0.02*1/200)-1)</f>
        <v>320702.24770063267</v>
      </c>
      <c r="G6" s="39">
        <f t="shared" si="0"/>
        <v>0.13382147077036044</v>
      </c>
      <c r="H6" s="40">
        <f>L6*100000</f>
        <v>55322.812565746528</v>
      </c>
      <c r="I6" s="40">
        <f t="shared" si="1"/>
        <v>-2457368.2760886354</v>
      </c>
      <c r="K6" s="38">
        <v>0.23</v>
      </c>
      <c r="L6" s="38">
        <f t="shared" si="3"/>
        <v>0.55322812565746526</v>
      </c>
      <c r="M6">
        <f t="shared" si="4"/>
        <v>-1.0053474929021144E-2</v>
      </c>
      <c r="N6">
        <f t="shared" si="2"/>
        <v>0.49598931134759811</v>
      </c>
      <c r="Q6" s="35">
        <f>LN(E6)-LN(E5)</f>
        <v>9.4388593212011429E-3</v>
      </c>
    </row>
    <row r="7" spans="1:19" ht="15.75" thickBot="1" x14ac:dyDescent="0.3">
      <c r="A7" s="3" t="s">
        <v>13</v>
      </c>
      <c r="B7" s="21">
        <v>100000</v>
      </c>
      <c r="D7" s="13">
        <v>5</v>
      </c>
      <c r="E7" s="27">
        <v>48.356971995721089</v>
      </c>
      <c r="F7" s="37">
        <f t="shared" ref="F7:F51" si="5">F6+H6*(E7-E6)+I6*(EXP(0.02*1/200)-1)</f>
        <v>217629.67276283639</v>
      </c>
      <c r="G7" s="39">
        <f t="shared" si="0"/>
        <v>-0.13202576314157075</v>
      </c>
      <c r="H7" s="40">
        <f t="shared" ref="H7:H51" si="6">L7*100000</f>
        <v>44748.195703835852</v>
      </c>
      <c r="I7" s="40">
        <f t="shared" si="1"/>
        <v>-1946257.5737466007</v>
      </c>
      <c r="K7" s="38">
        <v>0.22500000000000001</v>
      </c>
      <c r="L7" s="38">
        <f t="shared" si="3"/>
        <v>0.44748195703835852</v>
      </c>
      <c r="M7">
        <f t="shared" si="4"/>
        <v>-0.27432825784914783</v>
      </c>
      <c r="N7">
        <f t="shared" si="2"/>
        <v>0.39191618527081717</v>
      </c>
      <c r="Q7" s="35">
        <f>LN(E7)-LN(E6)</f>
        <v>-3.7716152301213945E-2</v>
      </c>
    </row>
    <row r="8" spans="1:19" ht="15.75" thickBot="1" x14ac:dyDescent="0.3">
      <c r="A8" s="22" t="s">
        <v>16</v>
      </c>
      <c r="B8" s="11">
        <v>50</v>
      </c>
      <c r="D8" s="13">
        <v>6</v>
      </c>
      <c r="E8" s="27">
        <v>48.741614407655327</v>
      </c>
      <c r="F8" s="37">
        <f t="shared" si="5"/>
        <v>234647.0911990781</v>
      </c>
      <c r="G8" s="39">
        <f t="shared" si="0"/>
        <v>-7.9522694104468966E-2</v>
      </c>
      <c r="H8" s="40">
        <f t="shared" si="6"/>
        <v>46830.844074303532</v>
      </c>
      <c r="I8" s="40">
        <f t="shared" si="1"/>
        <v>-2047963.853055655</v>
      </c>
      <c r="K8" s="38">
        <v>0.22</v>
      </c>
      <c r="L8" s="38">
        <f t="shared" si="3"/>
        <v>0.46830844074303529</v>
      </c>
      <c r="M8">
        <f t="shared" si="4"/>
        <v>-0.22023516689917186</v>
      </c>
      <c r="N8">
        <f t="shared" si="2"/>
        <v>0.41284400484698947</v>
      </c>
      <c r="Q8" s="35">
        <f t="shared" ref="Q8:Q52" si="7">LN(E8)-LN(E7)</f>
        <v>7.9227605299805326E-3</v>
      </c>
    </row>
    <row r="9" spans="1:19" x14ac:dyDescent="0.25">
      <c r="A9" s="10" t="s">
        <v>6</v>
      </c>
      <c r="B9" s="12">
        <v>0.10833333333333334</v>
      </c>
      <c r="D9" s="13">
        <v>7</v>
      </c>
      <c r="E9" s="27">
        <v>50.075533324711159</v>
      </c>
      <c r="F9" s="37">
        <f t="shared" si="5"/>
        <v>296910.83338601736</v>
      </c>
      <c r="G9" s="39">
        <f t="shared" ref="G9:G51" si="8">((LN(E9/50)+((0.02+(0.3^2)/2)*K9))/(0.3*SQRT(K9)))</f>
        <v>0.11131596289687154</v>
      </c>
      <c r="H9" s="40">
        <f t="shared" si="6"/>
        <v>54431.710124338802</v>
      </c>
      <c r="I9" s="40">
        <f t="shared" si="1"/>
        <v>-2428786.080866328</v>
      </c>
      <c r="K9" s="38">
        <v>0.215</v>
      </c>
      <c r="L9" s="38">
        <f t="shared" si="3"/>
        <v>0.54431710124338806</v>
      </c>
      <c r="M9">
        <f t="shared" si="4"/>
        <v>-2.7788314535564018E-2</v>
      </c>
      <c r="N9">
        <f t="shared" si="2"/>
        <v>0.48891549300738607</v>
      </c>
      <c r="Q9" s="35">
        <f t="shared" si="7"/>
        <v>2.6999361516201414E-2</v>
      </c>
    </row>
    <row r="10" spans="1:19" ht="15.75" thickBot="1" x14ac:dyDescent="0.3">
      <c r="A10" s="9" t="s">
        <v>14</v>
      </c>
      <c r="B10" s="41">
        <f>O2*100000</f>
        <v>310815.12162064441</v>
      </c>
      <c r="D10" s="13">
        <v>8</v>
      </c>
      <c r="E10" s="27">
        <v>49.634212148496175</v>
      </c>
      <c r="F10" s="37">
        <f t="shared" si="5"/>
        <v>272646.07629812916</v>
      </c>
      <c r="G10" s="39">
        <f t="shared" si="8"/>
        <v>4.5879231864028945E-2</v>
      </c>
      <c r="H10" s="40">
        <f t="shared" si="6"/>
        <v>51829.674634233714</v>
      </c>
      <c r="I10" s="40">
        <f t="shared" si="1"/>
        <v>-2299878.9900849578</v>
      </c>
      <c r="K10" s="38">
        <v>0.21</v>
      </c>
      <c r="L10" s="38">
        <f t="shared" si="3"/>
        <v>0.51829674634233713</v>
      </c>
      <c r="M10">
        <f t="shared" si="4"/>
        <v>-9.1598038984646246E-2</v>
      </c>
      <c r="N10">
        <f t="shared" si="2"/>
        <v>0.46350870478249662</v>
      </c>
      <c r="Q10" s="35">
        <f t="shared" si="7"/>
        <v>-8.8521750001646637E-3</v>
      </c>
    </row>
    <row r="11" spans="1:19" ht="15.75" thickBot="1" x14ac:dyDescent="0.3">
      <c r="A11" s="20" t="s">
        <v>15</v>
      </c>
      <c r="B11" s="32">
        <f>F52-(MAX(E52-B6,0)*B7)</f>
        <v>46624.880360059178</v>
      </c>
      <c r="D11" s="13">
        <v>9</v>
      </c>
      <c r="E11" s="27">
        <v>48.39204208630683</v>
      </c>
      <c r="F11" s="37">
        <f t="shared" si="5"/>
        <v>208034.80673568268</v>
      </c>
      <c r="G11" s="39">
        <f t="shared" si="8"/>
        <v>-0.14254961464362001</v>
      </c>
      <c r="H11" s="40">
        <f t="shared" si="6"/>
        <v>44332.294632358164</v>
      </c>
      <c r="I11" s="40">
        <f t="shared" si="1"/>
        <v>-1937295.4608959476</v>
      </c>
      <c r="K11" s="38">
        <v>0.20499999999999999</v>
      </c>
      <c r="L11" s="38">
        <f t="shared" si="3"/>
        <v>0.4433229463235816</v>
      </c>
      <c r="M11">
        <f t="shared" si="4"/>
        <v>-0.27838039171568124</v>
      </c>
      <c r="N11">
        <f t="shared" si="2"/>
        <v>0.3903601849974126</v>
      </c>
      <c r="Q11" s="35">
        <f t="shared" si="7"/>
        <v>-2.5344976513665962E-2</v>
      </c>
    </row>
    <row r="12" spans="1:19" x14ac:dyDescent="0.25">
      <c r="D12" s="13">
        <v>10</v>
      </c>
      <c r="E12" s="27">
        <v>48.193660291379288</v>
      </c>
      <c r="F12" s="37">
        <f t="shared" si="5"/>
        <v>199046.34732036895</v>
      </c>
      <c r="G12" s="39">
        <f t="shared" si="8"/>
        <v>-0.1773613510132864</v>
      </c>
      <c r="H12" s="40">
        <f t="shared" si="6"/>
        <v>42961.22817048349</v>
      </c>
      <c r="I12" s="40">
        <f t="shared" si="1"/>
        <v>-1871412.4888283464</v>
      </c>
      <c r="K12" s="38">
        <v>0.2</v>
      </c>
      <c r="L12" s="38">
        <f t="shared" si="3"/>
        <v>0.4296122817048349</v>
      </c>
      <c r="M12">
        <f t="shared" si="4"/>
        <v>-0.31152542966327379</v>
      </c>
      <c r="N12">
        <f t="shared" si="2"/>
        <v>0.3777006069590817</v>
      </c>
      <c r="Q12" s="35">
        <f t="shared" si="7"/>
        <v>-4.1078973184487388E-3</v>
      </c>
    </row>
    <row r="13" spans="1:19" x14ac:dyDescent="0.25">
      <c r="D13" s="13">
        <v>11</v>
      </c>
      <c r="E13" s="27">
        <v>48.954316266096534</v>
      </c>
      <c r="F13" s="37">
        <f t="shared" si="5"/>
        <v>231537.91160318081</v>
      </c>
      <c r="G13" s="39">
        <f t="shared" si="8"/>
        <v>-6.3863921946257632E-2</v>
      </c>
      <c r="H13" s="40">
        <f t="shared" si="6"/>
        <v>47453.928986291437</v>
      </c>
      <c r="I13" s="40">
        <f t="shared" si="1"/>
        <v>-2091536.7360606161</v>
      </c>
      <c r="K13" s="38">
        <v>0.19500000000000001</v>
      </c>
      <c r="L13" s="38">
        <f t="shared" si="3"/>
        <v>0.47453928986291438</v>
      </c>
      <c r="M13">
        <f t="shared" si="4"/>
        <v>-0.19634033494117531</v>
      </c>
      <c r="N13">
        <f t="shared" si="2"/>
        <v>0.42217189650542619</v>
      </c>
      <c r="Q13" s="35">
        <f t="shared" si="7"/>
        <v>1.5660058947586819E-2</v>
      </c>
    </row>
    <row r="14" spans="1:19" x14ac:dyDescent="0.25">
      <c r="D14" s="13">
        <v>12</v>
      </c>
      <c r="E14" s="27">
        <v>48.572177652589978</v>
      </c>
      <c r="F14" s="37">
        <f t="shared" si="5"/>
        <v>213194.76884328245</v>
      </c>
      <c r="G14" s="39">
        <f t="shared" si="8"/>
        <v>-0.1271124883314898</v>
      </c>
      <c r="H14" s="40">
        <f t="shared" si="6"/>
        <v>44942.568369140296</v>
      </c>
      <c r="I14" s="40">
        <f t="shared" si="1"/>
        <v>-1969763.6461462709</v>
      </c>
      <c r="K14" s="38">
        <v>0.19</v>
      </c>
      <c r="L14" s="38">
        <f t="shared" si="3"/>
        <v>0.44942568369140296</v>
      </c>
      <c r="M14">
        <f t="shared" si="4"/>
        <v>-0.25787945663771</v>
      </c>
      <c r="N14">
        <f t="shared" si="2"/>
        <v>0.39824996999448897</v>
      </c>
      <c r="Q14" s="35">
        <f t="shared" si="7"/>
        <v>-7.8366514337409043E-3</v>
      </c>
    </row>
    <row r="15" spans="1:19" x14ac:dyDescent="0.25">
      <c r="D15" s="13">
        <v>13</v>
      </c>
      <c r="E15" s="27">
        <v>48.337507756341211</v>
      </c>
      <c r="F15" s="37">
        <f t="shared" si="5"/>
        <v>202451.11477318191</v>
      </c>
      <c r="G15" s="39">
        <f t="shared" si="8"/>
        <v>-0.16887052710452874</v>
      </c>
      <c r="H15" s="40">
        <f t="shared" si="6"/>
        <v>43294.924109106483</v>
      </c>
      <c r="I15" s="40">
        <f t="shared" si="1"/>
        <v>-1890317.6151609567</v>
      </c>
      <c r="K15" s="38">
        <v>0.185</v>
      </c>
      <c r="L15" s="38">
        <f t="shared" si="3"/>
        <v>0.43294924109106486</v>
      </c>
      <c r="M15">
        <f t="shared" si="4"/>
        <v>-0.29790540611016814</v>
      </c>
      <c r="N15">
        <f t="shared" si="2"/>
        <v>0.38288768085789793</v>
      </c>
      <c r="Q15" s="35">
        <f t="shared" si="7"/>
        <v>-4.8430732995830006E-3</v>
      </c>
    </row>
    <row r="16" spans="1:19" x14ac:dyDescent="0.25">
      <c r="D16" s="13">
        <v>14</v>
      </c>
      <c r="E16" s="27">
        <v>49.020045514664034</v>
      </c>
      <c r="F16" s="37">
        <f t="shared" si="5"/>
        <v>231812.49400794887</v>
      </c>
      <c r="G16" s="39">
        <f t="shared" si="8"/>
        <v>-6.359010369386843E-2</v>
      </c>
      <c r="H16" s="40">
        <f t="shared" si="6"/>
        <v>47464.830595132706</v>
      </c>
      <c r="I16" s="40">
        <f t="shared" si="1"/>
        <v>-2094915.6621112744</v>
      </c>
      <c r="K16" s="38">
        <v>0.18</v>
      </c>
      <c r="L16" s="38">
        <f t="shared" si="3"/>
        <v>0.47464830595132707</v>
      </c>
      <c r="M16">
        <f t="shared" si="4"/>
        <v>-0.19086932430744696</v>
      </c>
      <c r="N16">
        <f t="shared" si="2"/>
        <v>0.42431398698125955</v>
      </c>
      <c r="Q16" s="35">
        <f t="shared" si="7"/>
        <v>1.4021489195659154E-2</v>
      </c>
    </row>
    <row r="17" spans="4:17" x14ac:dyDescent="0.25">
      <c r="D17" s="13">
        <v>15</v>
      </c>
      <c r="E17" s="27">
        <v>48.848217325272635</v>
      </c>
      <c r="F17" s="37">
        <f t="shared" si="5"/>
        <v>223447.19606587911</v>
      </c>
      <c r="G17" s="39">
        <f t="shared" si="8"/>
        <v>-9.5061475043684077E-2</v>
      </c>
      <c r="H17" s="40">
        <f t="shared" si="6"/>
        <v>46213.299895774006</v>
      </c>
      <c r="I17" s="40">
        <f t="shared" si="1"/>
        <v>-2033990.1205608884</v>
      </c>
      <c r="K17" s="38">
        <v>0.17499999999999999</v>
      </c>
      <c r="L17" s="38">
        <f t="shared" si="3"/>
        <v>0.46213299895774007</v>
      </c>
      <c r="M17">
        <f t="shared" si="4"/>
        <v>-0.22056047902379539</v>
      </c>
      <c r="N17">
        <f t="shared" si="2"/>
        <v>0.41271733817990752</v>
      </c>
      <c r="Q17" s="35">
        <f t="shared" si="7"/>
        <v>-3.5114215979703545E-3</v>
      </c>
    </row>
    <row r="18" spans="4:17" x14ac:dyDescent="0.25">
      <c r="D18" s="13">
        <v>16</v>
      </c>
      <c r="E18" s="27">
        <v>49.449221094933286</v>
      </c>
      <c r="F18" s="37">
        <f t="shared" si="5"/>
        <v>251018.15432935164</v>
      </c>
      <c r="G18" s="39">
        <f t="shared" si="8"/>
        <v>-2.1584740781622566E-4</v>
      </c>
      <c r="H18" s="40">
        <f t="shared" si="6"/>
        <v>49991.388934357572</v>
      </c>
      <c r="I18" s="40">
        <f t="shared" si="1"/>
        <v>-2221017.0899284971</v>
      </c>
      <c r="K18" s="38">
        <v>0.17</v>
      </c>
      <c r="L18" s="38">
        <f t="shared" si="3"/>
        <v>0.49991388934357572</v>
      </c>
      <c r="M18">
        <f t="shared" si="4"/>
        <v>-0.12390901617634605</v>
      </c>
      <c r="N18">
        <f t="shared" si="2"/>
        <v>0.45069365704530451</v>
      </c>
      <c r="Q18" s="35">
        <f t="shared" si="7"/>
        <v>1.2228421585019245E-2</v>
      </c>
    </row>
    <row r="19" spans="4:17" x14ac:dyDescent="0.25">
      <c r="D19" s="13">
        <v>17</v>
      </c>
      <c r="E19" s="27">
        <v>49.460768098458537</v>
      </c>
      <c r="F19" s="37">
        <f t="shared" si="5"/>
        <v>251373.29225916031</v>
      </c>
      <c r="G19" s="39">
        <f t="shared" si="8"/>
        <v>-9.700739111233957E-4</v>
      </c>
      <c r="H19" s="40">
        <f t="shared" si="6"/>
        <v>49961.299656243638</v>
      </c>
      <c r="I19" s="40">
        <f t="shared" si="1"/>
        <v>-2219750.9639359023</v>
      </c>
      <c r="K19" s="38">
        <v>0.16500000000000001</v>
      </c>
      <c r="L19" s="38">
        <f t="shared" si="3"/>
        <v>0.49961299656243635</v>
      </c>
      <c r="M19">
        <f t="shared" si="4"/>
        <v>-0.1228306499806628</v>
      </c>
      <c r="N19">
        <f t="shared" si="2"/>
        <v>0.45112060142830313</v>
      </c>
      <c r="Q19" s="35">
        <f t="shared" si="7"/>
        <v>2.3348508420406588E-4</v>
      </c>
    </row>
    <row r="20" spans="4:17" x14ac:dyDescent="0.25">
      <c r="D20" s="13">
        <v>18</v>
      </c>
      <c r="E20" s="27">
        <v>48.4779456956948</v>
      </c>
      <c r="F20" s="37">
        <f t="shared" si="5"/>
        <v>202048.22149029339</v>
      </c>
      <c r="G20" s="39">
        <f t="shared" si="8"/>
        <v>-0.17095032357185505</v>
      </c>
      <c r="H20" s="40">
        <f t="shared" si="6"/>
        <v>43213.141326643665</v>
      </c>
      <c r="I20" s="40">
        <f t="shared" si="1"/>
        <v>-1892836.0970831229</v>
      </c>
      <c r="K20" s="38">
        <v>0.16</v>
      </c>
      <c r="L20" s="38">
        <f t="shared" si="3"/>
        <v>0.43213141326643661</v>
      </c>
      <c r="M20">
        <f t="shared" si="4"/>
        <v>-0.29095032357185502</v>
      </c>
      <c r="N20">
        <f t="shared" si="2"/>
        <v>0.38554465632906443</v>
      </c>
      <c r="Q20" s="35">
        <f t="shared" si="7"/>
        <v>-2.00708250629833E-2</v>
      </c>
    </row>
    <row r="21" spans="4:17" x14ac:dyDescent="0.25">
      <c r="D21" s="13">
        <v>19</v>
      </c>
      <c r="E21" s="27">
        <v>47.870401505064414</v>
      </c>
      <c r="F21" s="37">
        <f t="shared" si="5"/>
        <v>175605.03544419687</v>
      </c>
      <c r="G21" s="39">
        <f t="shared" si="8"/>
        <v>-0.28321548728762452</v>
      </c>
      <c r="H21" s="40">
        <f t="shared" si="6"/>
        <v>38850.582851986939</v>
      </c>
      <c r="I21" s="40">
        <f t="shared" si="1"/>
        <v>-1684187.9643861884</v>
      </c>
      <c r="K21" s="38">
        <v>0.155</v>
      </c>
      <c r="L21" s="38">
        <f t="shared" si="3"/>
        <v>0.38850582851986942</v>
      </c>
      <c r="M21">
        <f t="shared" si="4"/>
        <v>-0.40132560539780171</v>
      </c>
      <c r="N21">
        <f t="shared" si="2"/>
        <v>0.34409020705092863</v>
      </c>
      <c r="Q21" s="35">
        <f t="shared" si="7"/>
        <v>-1.2611575825550059E-2</v>
      </c>
    </row>
    <row r="22" spans="4:17" x14ac:dyDescent="0.25">
      <c r="D22" s="13">
        <v>20</v>
      </c>
      <c r="E22" s="27">
        <v>46.505392583838749</v>
      </c>
      <c r="F22" s="37">
        <f t="shared" si="5"/>
        <v>122405.2160387586</v>
      </c>
      <c r="G22" s="39">
        <f t="shared" si="8"/>
        <v>-0.5396763890491717</v>
      </c>
      <c r="H22" s="40">
        <f t="shared" si="6"/>
        <v>29471.011284552551</v>
      </c>
      <c r="I22" s="40">
        <f t="shared" si="1"/>
        <v>-1248155.7335920997</v>
      </c>
      <c r="K22" s="38">
        <v>0.15</v>
      </c>
      <c r="L22" s="38">
        <f t="shared" si="3"/>
        <v>0.29471011284552551</v>
      </c>
      <c r="M22">
        <f t="shared" si="4"/>
        <v>-0.65586588943539414</v>
      </c>
      <c r="N22">
        <f t="shared" si="2"/>
        <v>0.2559552086408623</v>
      </c>
      <c r="Q22" s="35">
        <f t="shared" si="7"/>
        <v>-2.8929115359691338E-2</v>
      </c>
    </row>
    <row r="23" spans="4:17" x14ac:dyDescent="0.25">
      <c r="D23" s="13">
        <v>21</v>
      </c>
      <c r="E23" s="27">
        <v>48.547953424348307</v>
      </c>
      <c r="F23" s="37">
        <f t="shared" si="5"/>
        <v>182476.727804455</v>
      </c>
      <c r="G23" s="39">
        <f t="shared" si="8"/>
        <v>-0.17547761537423781</v>
      </c>
      <c r="H23" s="40">
        <f t="shared" si="6"/>
        <v>43035.2179108458</v>
      </c>
      <c r="I23" s="40">
        <f t="shared" si="1"/>
        <v>-1906795.0269379669</v>
      </c>
      <c r="K23" s="38">
        <v>0.14499999999999999</v>
      </c>
      <c r="L23" s="38">
        <f t="shared" si="3"/>
        <v>0.43035217910845802</v>
      </c>
      <c r="M23">
        <f t="shared" si="4"/>
        <v>-0.28971421196219643</v>
      </c>
      <c r="N23">
        <f t="shared" si="2"/>
        <v>0.38601744141840194</v>
      </c>
      <c r="Q23" s="35">
        <f t="shared" si="7"/>
        <v>4.2983764456140605E-2</v>
      </c>
    </row>
    <row r="24" spans="4:17" x14ac:dyDescent="0.25">
      <c r="D24" s="13">
        <v>22</v>
      </c>
      <c r="E24" s="27">
        <v>47.95620894064681</v>
      </c>
      <c r="F24" s="37">
        <f t="shared" si="5"/>
        <v>156820.18596383333</v>
      </c>
      <c r="G24" s="39">
        <f t="shared" si="8"/>
        <v>-0.29073323481014063</v>
      </c>
      <c r="H24" s="40">
        <f t="shared" si="6"/>
        <v>38562.767564516311</v>
      </c>
      <c r="I24" s="40">
        <f t="shared" si="1"/>
        <v>-1692503.9526897087</v>
      </c>
      <c r="K24" s="38">
        <v>0.14000000000000001</v>
      </c>
      <c r="L24" s="38">
        <f t="shared" si="3"/>
        <v>0.38562767564516309</v>
      </c>
      <c r="M24">
        <f t="shared" si="4"/>
        <v>-0.40298295641335891</v>
      </c>
      <c r="N24">
        <f t="shared" si="2"/>
        <v>0.34348038135557279</v>
      </c>
      <c r="Q24" s="35">
        <f t="shared" si="7"/>
        <v>-1.2263759110517913E-2</v>
      </c>
    </row>
    <row r="25" spans="4:17" x14ac:dyDescent="0.25">
      <c r="D25" s="13">
        <v>23</v>
      </c>
      <c r="E25" s="27">
        <v>48.256848585207223</v>
      </c>
      <c r="F25" s="37">
        <f t="shared" si="5"/>
        <v>168244.42383962439</v>
      </c>
      <c r="G25" s="39">
        <f t="shared" si="8"/>
        <v>-0.24232029189416807</v>
      </c>
      <c r="H25" s="40">
        <f t="shared" si="6"/>
        <v>40426.599579220223</v>
      </c>
      <c r="I25" s="40">
        <f t="shared" si="1"/>
        <v>-1782615.8708696081</v>
      </c>
      <c r="K25" s="38">
        <v>0.13500000000000001</v>
      </c>
      <c r="L25" s="38">
        <f t="shared" si="3"/>
        <v>0.40426599579220224</v>
      </c>
      <c r="M25">
        <f t="shared" si="4"/>
        <v>-0.3525473303194111</v>
      </c>
      <c r="N25">
        <f t="shared" si="2"/>
        <v>0.3622139147245107</v>
      </c>
      <c r="Q25" s="35">
        <f t="shared" si="7"/>
        <v>6.2494765424068177E-3</v>
      </c>
    </row>
    <row r="26" spans="4:17" x14ac:dyDescent="0.25">
      <c r="D26" s="13">
        <v>24</v>
      </c>
      <c r="E26" s="27">
        <v>47.736248116816341</v>
      </c>
      <c r="F26" s="37">
        <f t="shared" si="5"/>
        <v>147020.04666276823</v>
      </c>
      <c r="G26" s="39">
        <f t="shared" si="8"/>
        <v>-0.35021900619414409</v>
      </c>
      <c r="H26" s="40">
        <f t="shared" si="6"/>
        <v>36308.717201432584</v>
      </c>
      <c r="I26" s="40">
        <f t="shared" si="1"/>
        <v>-1586221.8864681353</v>
      </c>
      <c r="K26" s="38">
        <v>0.13</v>
      </c>
      <c r="L26" s="38">
        <f t="shared" si="3"/>
        <v>0.36308717201432583</v>
      </c>
      <c r="M26">
        <f t="shared" si="4"/>
        <v>-0.45838554445806379</v>
      </c>
      <c r="N26">
        <f t="shared" si="2"/>
        <v>0.32333773762126683</v>
      </c>
      <c r="Q26" s="35">
        <f t="shared" si="7"/>
        <v>-1.0846729408416245E-2</v>
      </c>
    </row>
    <row r="27" spans="4:17" x14ac:dyDescent="0.25">
      <c r="D27" s="13">
        <v>25</v>
      </c>
      <c r="E27" s="27">
        <v>48.801611041234104</v>
      </c>
      <c r="F27" s="37">
        <f t="shared" si="5"/>
        <v>185543.37768232328</v>
      </c>
      <c r="G27" s="39">
        <f t="shared" si="8"/>
        <v>-0.15211922162447786</v>
      </c>
      <c r="H27" s="40">
        <f t="shared" si="6"/>
        <v>43954.645198627979</v>
      </c>
      <c r="I27" s="40">
        <f t="shared" si="1"/>
        <v>-1959514.1207565672</v>
      </c>
      <c r="K27" s="38">
        <v>0.125</v>
      </c>
      <c r="L27" s="38">
        <f t="shared" si="3"/>
        <v>0.43954645198627978</v>
      </c>
      <c r="M27">
        <f t="shared" si="4"/>
        <v>-0.25818523880245997</v>
      </c>
      <c r="N27">
        <f t="shared" si="2"/>
        <v>0.39813197477799378</v>
      </c>
      <c r="Q27" s="35">
        <f t="shared" si="7"/>
        <v>2.2072297560327581E-2</v>
      </c>
    </row>
    <row r="28" spans="4:17" x14ac:dyDescent="0.25">
      <c r="D28" s="13">
        <v>26</v>
      </c>
      <c r="E28" s="27">
        <v>48.310825162322757</v>
      </c>
      <c r="F28" s="37">
        <f t="shared" si="5"/>
        <v>163775.09729630532</v>
      </c>
      <c r="G28" s="39">
        <f t="shared" si="8"/>
        <v>-0.25564441029379903</v>
      </c>
      <c r="H28" s="40">
        <f t="shared" si="6"/>
        <v>39911.271154606926</v>
      </c>
      <c r="I28" s="40">
        <f t="shared" si="1"/>
        <v>-1764371.3454599655</v>
      </c>
      <c r="K28" s="38">
        <v>0.12</v>
      </c>
      <c r="L28" s="38">
        <f t="shared" si="3"/>
        <v>0.39911271154606925</v>
      </c>
      <c r="M28">
        <f t="shared" si="4"/>
        <v>-0.35956745874793167</v>
      </c>
      <c r="N28">
        <f t="shared" si="2"/>
        <v>0.35958531113104691</v>
      </c>
      <c r="Q28" s="35">
        <f t="shared" si="7"/>
        <v>-1.0107666464067133E-2</v>
      </c>
    </row>
    <row r="29" spans="4:17" x14ac:dyDescent="0.25">
      <c r="D29" s="13">
        <v>27</v>
      </c>
      <c r="E29" s="27">
        <v>49.15790979236899</v>
      </c>
      <c r="F29" s="37">
        <f t="shared" si="5"/>
        <v>197406.87570028353</v>
      </c>
      <c r="G29" s="39">
        <f t="shared" si="8"/>
        <v>-9.3480560227379578E-2</v>
      </c>
      <c r="H29" s="40">
        <f t="shared" si="6"/>
        <v>46276.089637657919</v>
      </c>
      <c r="I29" s="40">
        <f t="shared" si="1"/>
        <v>-2077428.9642512857</v>
      </c>
      <c r="K29" s="38">
        <v>0.115</v>
      </c>
      <c r="L29" s="38">
        <f t="shared" si="3"/>
        <v>0.46276089637657919</v>
      </c>
      <c r="M29">
        <f t="shared" si="4"/>
        <v>-0.1952155099742586</v>
      </c>
      <c r="N29">
        <f t="shared" si="2"/>
        <v>0.42261211872161109</v>
      </c>
      <c r="Q29" s="35">
        <f t="shared" si="7"/>
        <v>1.7382106340947612E-2</v>
      </c>
    </row>
    <row r="30" spans="4:17" x14ac:dyDescent="0.25">
      <c r="D30" s="13">
        <v>28</v>
      </c>
      <c r="E30" s="27">
        <v>48.184502988632474</v>
      </c>
      <c r="F30" s="37">
        <f t="shared" si="5"/>
        <v>152153.66191275016</v>
      </c>
      <c r="G30" s="39">
        <f t="shared" si="8"/>
        <v>-0.29985856820429346</v>
      </c>
      <c r="H30" s="40">
        <f t="shared" si="6"/>
        <v>38214.251931881729</v>
      </c>
      <c r="I30" s="40">
        <f t="shared" si="1"/>
        <v>-1689181.0745073592</v>
      </c>
      <c r="K30" s="38">
        <v>0.11</v>
      </c>
      <c r="L30" s="38">
        <f t="shared" si="3"/>
        <v>0.38214251931881726</v>
      </c>
      <c r="M30">
        <f t="shared" si="4"/>
        <v>-0.39935731191495544</v>
      </c>
      <c r="N30">
        <f t="shared" si="2"/>
        <v>0.344814971629884</v>
      </c>
      <c r="Q30" s="35">
        <f t="shared" si="7"/>
        <v>-2.0000310730162063E-2</v>
      </c>
    </row>
    <row r="31" spans="4:17" x14ac:dyDescent="0.25">
      <c r="D31" s="13">
        <v>29</v>
      </c>
      <c r="E31" s="27">
        <v>47.645596459024162</v>
      </c>
      <c r="F31" s="37">
        <f t="shared" si="5"/>
        <v>131390.82546892433</v>
      </c>
      <c r="G31" s="39">
        <f t="shared" si="8"/>
        <v>-0.42595742078036114</v>
      </c>
      <c r="H31" s="40">
        <f t="shared" si="6"/>
        <v>33506.943632258102</v>
      </c>
      <c r="I31" s="40">
        <f t="shared" si="1"/>
        <v>-1465067.4894089145</v>
      </c>
      <c r="K31" s="38">
        <v>0.105</v>
      </c>
      <c r="L31" s="38">
        <f t="shared" si="3"/>
        <v>0.33506943632258102</v>
      </c>
      <c r="M31">
        <f t="shared" si="4"/>
        <v>-0.523168531256479</v>
      </c>
      <c r="N31">
        <f t="shared" si="2"/>
        <v>0.30042848914133158</v>
      </c>
      <c r="Q31" s="35">
        <f t="shared" si="7"/>
        <v>-1.1247243062396883E-2</v>
      </c>
    </row>
    <row r="32" spans="4:17" x14ac:dyDescent="0.25">
      <c r="D32" s="13">
        <v>30</v>
      </c>
      <c r="E32" s="27">
        <v>46.190907018377914</v>
      </c>
      <c r="F32" s="37">
        <f t="shared" si="5"/>
        <v>82502.114304226838</v>
      </c>
      <c r="G32" s="39">
        <f t="shared" si="8"/>
        <v>-0.76674739236074785</v>
      </c>
      <c r="H32" s="40">
        <f t="shared" si="6"/>
        <v>22161.586007080761</v>
      </c>
      <c r="I32" s="40">
        <f t="shared" si="1"/>
        <v>-941161.64432862564</v>
      </c>
      <c r="K32" s="38">
        <v>0.1</v>
      </c>
      <c r="L32" s="38">
        <f t="shared" si="3"/>
        <v>0.22161586007080761</v>
      </c>
      <c r="M32">
        <f t="shared" si="4"/>
        <v>-0.86161572216579918</v>
      </c>
      <c r="N32">
        <f t="shared" si="2"/>
        <v>0.19444950818339043</v>
      </c>
      <c r="Q32" s="35">
        <f t="shared" si="7"/>
        <v>-3.1007250606040593E-2</v>
      </c>
    </row>
    <row r="33" spans="4:17" x14ac:dyDescent="0.25">
      <c r="D33" s="13">
        <v>31</v>
      </c>
      <c r="E33" s="27">
        <v>46.168825079953301</v>
      </c>
      <c r="F33" s="37">
        <f t="shared" si="5"/>
        <v>81918.622656228734</v>
      </c>
      <c r="G33" s="39">
        <f t="shared" si="8"/>
        <v>-0.79535234429901069</v>
      </c>
      <c r="H33" s="40">
        <f t="shared" si="6"/>
        <v>21320.428644104457</v>
      </c>
      <c r="I33" s="40">
        <f t="shared" si="1"/>
        <v>-902420.5180430559</v>
      </c>
      <c r="K33" s="38">
        <v>9.5000000000000001E-2</v>
      </c>
      <c r="L33" s="38">
        <f t="shared" si="3"/>
        <v>0.21320428644104455</v>
      </c>
      <c r="M33">
        <f t="shared" si="4"/>
        <v>-0.88781855434354529</v>
      </c>
      <c r="N33">
        <f t="shared" si="2"/>
        <v>0.18731918033624445</v>
      </c>
      <c r="Q33" s="35">
        <f t="shared" si="7"/>
        <v>-4.781724317228786E-4</v>
      </c>
    </row>
    <row r="34" spans="4:17" x14ac:dyDescent="0.25">
      <c r="D34" s="13">
        <v>32</v>
      </c>
      <c r="E34" s="27">
        <v>46.047138328557949</v>
      </c>
      <c r="F34" s="37">
        <f t="shared" si="5"/>
        <v>79233.962392113928</v>
      </c>
      <c r="G34" s="39">
        <f t="shared" si="8"/>
        <v>-0.85008208177880618</v>
      </c>
      <c r="H34" s="40">
        <f t="shared" si="6"/>
        <v>19763.972642474728</v>
      </c>
      <c r="I34" s="40">
        <f t="shared" si="1"/>
        <v>-830840.41979775485</v>
      </c>
      <c r="K34" s="38">
        <v>0.09</v>
      </c>
      <c r="L34" s="38">
        <f t="shared" si="3"/>
        <v>0.19763972642474728</v>
      </c>
      <c r="M34">
        <f t="shared" si="4"/>
        <v>-0.94008208177880614</v>
      </c>
      <c r="N34">
        <f t="shared" si="2"/>
        <v>0.17358772953070672</v>
      </c>
      <c r="Q34" s="35">
        <f t="shared" si="7"/>
        <v>-2.6391704327273224E-3</v>
      </c>
    </row>
    <row r="35" spans="4:17" x14ac:dyDescent="0.25">
      <c r="D35" s="13">
        <v>33</v>
      </c>
      <c r="E35" s="27">
        <v>46.283890366069592</v>
      </c>
      <c r="F35" s="37">
        <f t="shared" si="5"/>
        <v>83830.034988223793</v>
      </c>
      <c r="G35" s="39">
        <f t="shared" si="8"/>
        <v>-0.81980948602094639</v>
      </c>
      <c r="H35" s="40">
        <f t="shared" si="6"/>
        <v>20616.23612382152</v>
      </c>
      <c r="I35" s="40">
        <f t="shared" si="1"/>
        <v>-870369.57752773492</v>
      </c>
      <c r="K35" s="38">
        <v>8.5000000000000006E-2</v>
      </c>
      <c r="L35" s="38">
        <f t="shared" si="3"/>
        <v>0.20616236123821521</v>
      </c>
      <c r="M35">
        <f t="shared" si="4"/>
        <v>-0.90727376444362595</v>
      </c>
      <c r="N35">
        <f t="shared" si="2"/>
        <v>0.18213102217388816</v>
      </c>
      <c r="Q35" s="35">
        <f t="shared" si="7"/>
        <v>5.1283422212029528E-3</v>
      </c>
    </row>
    <row r="36" spans="4:17" x14ac:dyDescent="0.25">
      <c r="D36" s="13">
        <v>34</v>
      </c>
      <c r="E36" s="27">
        <v>44.471715953409266</v>
      </c>
      <c r="F36" s="37">
        <f t="shared" si="5"/>
        <v>46382.778089525171</v>
      </c>
      <c r="G36" s="39">
        <f t="shared" si="8"/>
        <v>-1.3195745662084155</v>
      </c>
      <c r="H36" s="40">
        <f t="shared" si="6"/>
        <v>9348.8549595314144</v>
      </c>
      <c r="I36" s="40">
        <f t="shared" si="1"/>
        <v>-369376.84416037734</v>
      </c>
      <c r="K36" s="38">
        <v>0.08</v>
      </c>
      <c r="L36" s="38">
        <f t="shared" si="3"/>
        <v>9.3488549595314135E-2</v>
      </c>
      <c r="M36">
        <f t="shared" si="4"/>
        <v>-1.4044273799508011</v>
      </c>
      <c r="N36">
        <f t="shared" si="2"/>
        <v>8.0095811210110751E-2</v>
      </c>
      <c r="Q36" s="35">
        <f t="shared" si="7"/>
        <v>-3.9940569746782284E-2</v>
      </c>
    </row>
    <row r="37" spans="4:17" x14ac:dyDescent="0.25">
      <c r="D37" s="13">
        <v>35</v>
      </c>
      <c r="E37" s="27">
        <v>44.022586501290881</v>
      </c>
      <c r="F37" s="37">
        <f t="shared" si="5"/>
        <v>42146.992452254744</v>
      </c>
      <c r="G37" s="39">
        <f t="shared" si="8"/>
        <v>-1.4903551924947214</v>
      </c>
      <c r="H37" s="40">
        <f t="shared" si="6"/>
        <v>6806.5433722723774</v>
      </c>
      <c r="I37" s="40">
        <f t="shared" si="1"/>
        <v>-257494.6519283941</v>
      </c>
      <c r="K37" s="38">
        <v>7.4999999999999997E-2</v>
      </c>
      <c r="L37" s="38">
        <f t="shared" si="3"/>
        <v>6.8065433722723778E-2</v>
      </c>
      <c r="M37">
        <f t="shared" si="4"/>
        <v>-1.5725135761204962</v>
      </c>
      <c r="N37">
        <f t="shared" si="2"/>
        <v>5.7915746581609438E-2</v>
      </c>
      <c r="Q37" s="35">
        <f t="shared" si="7"/>
        <v>-1.0150558757974881E-2</v>
      </c>
    </row>
    <row r="38" spans="4:17" x14ac:dyDescent="0.25">
      <c r="D38" s="13">
        <v>36</v>
      </c>
      <c r="E38" s="27">
        <v>43.001732807217408</v>
      </c>
      <c r="F38" s="37">
        <f t="shared" si="5"/>
        <v>35172.756754090144</v>
      </c>
      <c r="G38" s="39">
        <f t="shared" si="8"/>
        <v>-1.8423574946078847</v>
      </c>
      <c r="H38" s="40">
        <f t="shared" si="6"/>
        <v>3271.1437452630407</v>
      </c>
      <c r="I38" s="40">
        <f t="shared" si="1"/>
        <v>-105492.09255371158</v>
      </c>
      <c r="K38" s="38">
        <v>7.0000000000000007E-2</v>
      </c>
      <c r="L38" s="38">
        <f t="shared" si="3"/>
        <v>3.2711437452630408E-2</v>
      </c>
      <c r="M38">
        <f t="shared" si="4"/>
        <v>-1.9217300339398224</v>
      </c>
      <c r="N38">
        <f t="shared" si="2"/>
        <v>2.7319868030183894E-2</v>
      </c>
      <c r="Q38" s="35">
        <f t="shared" si="7"/>
        <v>-2.3462419060607864E-2</v>
      </c>
    </row>
    <row r="39" spans="4:17" x14ac:dyDescent="0.25">
      <c r="D39" s="13">
        <v>37</v>
      </c>
      <c r="E39" s="27">
        <v>42.589382033967823</v>
      </c>
      <c r="F39" s="37">
        <f t="shared" si="5"/>
        <v>33813.348364586964</v>
      </c>
      <c r="G39" s="39">
        <f t="shared" si="8"/>
        <v>-2.0421315749406892</v>
      </c>
      <c r="H39" s="40">
        <f t="shared" si="6"/>
        <v>2056.9240790670847</v>
      </c>
      <c r="I39" s="40">
        <f t="shared" si="1"/>
        <v>-53789.777053668535</v>
      </c>
      <c r="K39" s="38">
        <v>6.5000000000000002E-2</v>
      </c>
      <c r="L39" s="38">
        <f t="shared" si="3"/>
        <v>2.0569240790670847E-2</v>
      </c>
      <c r="M39">
        <f t="shared" si="4"/>
        <v>-2.1186168676445809</v>
      </c>
      <c r="N39">
        <f t="shared" si="2"/>
        <v>1.7061429525525203E-2</v>
      </c>
      <c r="Q39" s="35">
        <f t="shared" si="7"/>
        <v>-9.6354385449433089E-3</v>
      </c>
    </row>
    <row r="40" spans="4:17" x14ac:dyDescent="0.25">
      <c r="D40" s="13">
        <v>38</v>
      </c>
      <c r="E40" s="27">
        <v>43.226927429506745</v>
      </c>
      <c r="F40" s="37">
        <f t="shared" si="5"/>
        <v>35119.3515935061</v>
      </c>
      <c r="G40" s="39">
        <f t="shared" si="8"/>
        <v>-1.9277400480552842</v>
      </c>
      <c r="H40" s="40">
        <f t="shared" si="6"/>
        <v>2694.373404465302</v>
      </c>
      <c r="I40" s="40">
        <f t="shared" si="1"/>
        <v>-81350.13202930853</v>
      </c>
      <c r="K40" s="38">
        <v>0.06</v>
      </c>
      <c r="L40" s="38">
        <f t="shared" si="3"/>
        <v>2.6943734044653021E-2</v>
      </c>
      <c r="M40">
        <f t="shared" si="4"/>
        <v>-2.0012247403387797</v>
      </c>
      <c r="N40">
        <f t="shared" si="2"/>
        <v>2.2684087969827946E-2</v>
      </c>
      <c r="Q40" s="35">
        <f t="shared" si="7"/>
        <v>1.4858647015284721E-2</v>
      </c>
    </row>
    <row r="41" spans="4:17" x14ac:dyDescent="0.25">
      <c r="D41" s="13">
        <v>39</v>
      </c>
      <c r="E41" s="27">
        <v>43.52026539833895</v>
      </c>
      <c r="F41" s="37">
        <f t="shared" si="5"/>
        <v>35901.578195280308</v>
      </c>
      <c r="G41" s="39">
        <f t="shared" si="8"/>
        <v>-1.9219519336984205</v>
      </c>
      <c r="H41" s="40">
        <f t="shared" si="6"/>
        <v>2730.5903077225862</v>
      </c>
      <c r="I41" s="40">
        <f t="shared" si="1"/>
        <v>-82934.436690938659</v>
      </c>
      <c r="K41" s="38">
        <v>5.5E-2</v>
      </c>
      <c r="L41" s="38">
        <f t="shared" si="3"/>
        <v>2.7305903077225864E-2</v>
      </c>
      <c r="M41">
        <f t="shared" si="4"/>
        <v>-1.9923081700957721</v>
      </c>
      <c r="N41">
        <f t="shared" si="2"/>
        <v>2.316862791468562E-2</v>
      </c>
      <c r="Q41" s="35">
        <f t="shared" si="7"/>
        <v>6.7630796422806227E-3</v>
      </c>
    </row>
    <row r="42" spans="4:17" x14ac:dyDescent="0.25">
      <c r="D42" s="13">
        <v>40</v>
      </c>
      <c r="E42" s="27">
        <v>45.202903045601992</v>
      </c>
      <c r="F42" s="37">
        <f t="shared" si="5"/>
        <v>40487.878387950812</v>
      </c>
      <c r="G42" s="39">
        <f t="shared" si="8"/>
        <v>-1.4551092209181833</v>
      </c>
      <c r="H42" s="40">
        <f t="shared" si="6"/>
        <v>7281.9513413997711</v>
      </c>
      <c r="I42" s="40">
        <f t="shared" si="1"/>
        <v>-288677.46208013443</v>
      </c>
      <c r="K42" s="38">
        <v>0.05</v>
      </c>
      <c r="L42" s="38">
        <f t="shared" si="3"/>
        <v>7.2819513413997713E-2</v>
      </c>
      <c r="M42">
        <f t="shared" si="4"/>
        <v>-1.5221912602431771</v>
      </c>
      <c r="N42">
        <f t="shared" si="2"/>
        <v>6.3980582186925428E-2</v>
      </c>
      <c r="Q42" s="35">
        <f t="shared" si="7"/>
        <v>3.7934610611837893E-2</v>
      </c>
    </row>
    <row r="43" spans="4:17" x14ac:dyDescent="0.25">
      <c r="D43" s="13">
        <v>41</v>
      </c>
      <c r="E43" s="27">
        <v>46.112444715097141</v>
      </c>
      <c r="F43" s="37">
        <f t="shared" si="5"/>
        <v>47082.247378546541</v>
      </c>
      <c r="G43" s="39">
        <f t="shared" si="8"/>
        <v>-1.2258896785126381</v>
      </c>
      <c r="H43" s="40">
        <f t="shared" si="6"/>
        <v>11012.00967215271</v>
      </c>
      <c r="I43" s="40">
        <f t="shared" si="1"/>
        <v>-460708.4398307103</v>
      </c>
      <c r="K43" s="38">
        <v>4.4999999999999998E-2</v>
      </c>
      <c r="L43" s="38">
        <f t="shared" si="3"/>
        <v>0.11012009672152709</v>
      </c>
      <c r="M43">
        <f t="shared" si="4"/>
        <v>-1.2895292888194274</v>
      </c>
      <c r="N43">
        <f t="shared" si="2"/>
        <v>9.8607070380240636E-2</v>
      </c>
      <c r="Q43" s="35">
        <f t="shared" si="7"/>
        <v>1.9921552560135058E-2</v>
      </c>
    </row>
    <row r="44" spans="4:17" x14ac:dyDescent="0.25">
      <c r="D44" s="13">
        <v>42</v>
      </c>
      <c r="E44" s="27">
        <v>46.239706230368689</v>
      </c>
      <c r="F44" s="37">
        <f t="shared" si="5"/>
        <v>48437.579268007576</v>
      </c>
      <c r="G44" s="39">
        <f t="shared" si="8"/>
        <v>-1.259735570561191</v>
      </c>
      <c r="H44" s="40">
        <f t="shared" si="6"/>
        <v>10388.238451270669</v>
      </c>
      <c r="I44" s="40">
        <f t="shared" si="1"/>
        <v>-431911.51496976829</v>
      </c>
      <c r="K44" s="38">
        <v>0.04</v>
      </c>
      <c r="L44" s="38">
        <f t="shared" si="3"/>
        <v>0.10388238451270669</v>
      </c>
      <c r="M44">
        <f t="shared" si="4"/>
        <v>-1.3197355705611911</v>
      </c>
      <c r="N44">
        <f t="shared" si="2"/>
        <v>9.3461659766117505E-2</v>
      </c>
      <c r="Q44" s="35">
        <f t="shared" si="7"/>
        <v>2.7560071859880075E-3</v>
      </c>
    </row>
    <row r="45" spans="4:17" x14ac:dyDescent="0.25">
      <c r="D45" s="13">
        <v>43</v>
      </c>
      <c r="E45" s="27">
        <v>46.500615070141016</v>
      </c>
      <c r="F45" s="37">
        <f t="shared" si="5"/>
        <v>51104.769198480317</v>
      </c>
      <c r="G45" s="39">
        <f t="shared" si="8"/>
        <v>-1.2522519361943789</v>
      </c>
      <c r="H45" s="40">
        <f t="shared" si="6"/>
        <v>10523.90382928703</v>
      </c>
      <c r="I45" s="40">
        <f t="shared" si="1"/>
        <v>-438263.2318023789</v>
      </c>
      <c r="K45" s="38">
        <v>3.5000000000000003E-2</v>
      </c>
      <c r="L45" s="38">
        <f t="shared" si="3"/>
        <v>0.1052390382928703</v>
      </c>
      <c r="M45">
        <f t="shared" si="4"/>
        <v>-1.3083767969959881</v>
      </c>
      <c r="N45">
        <f t="shared" si="2"/>
        <v>9.5372769323044393E-2</v>
      </c>
      <c r="Q45" s="35">
        <f t="shared" si="7"/>
        <v>5.6266686262165244E-3</v>
      </c>
    </row>
    <row r="46" spans="4:17" x14ac:dyDescent="0.25">
      <c r="D46" s="13">
        <v>44</v>
      </c>
      <c r="E46" s="27">
        <v>45.637705287548904</v>
      </c>
      <c r="F46" s="37">
        <f t="shared" si="5"/>
        <v>41979.761118560491</v>
      </c>
      <c r="G46" s="39">
        <f t="shared" si="8"/>
        <v>-1.7193252423729826</v>
      </c>
      <c r="H46" s="40">
        <f t="shared" si="6"/>
        <v>4277.7583070086503</v>
      </c>
      <c r="I46" s="40">
        <f t="shared" si="1"/>
        <v>-153247.31178806443</v>
      </c>
      <c r="K46" s="38">
        <v>0.03</v>
      </c>
      <c r="L46" s="38">
        <f t="shared" si="3"/>
        <v>4.27775830700865E-2</v>
      </c>
      <c r="M46">
        <f t="shared" si="4"/>
        <v>-1.7712867666000489</v>
      </c>
      <c r="N46">
        <f t="shared" si="2"/>
        <v>3.8256513464040701E-2</v>
      </c>
      <c r="Q46" s="35">
        <f t="shared" si="7"/>
        <v>-1.8731294628315354E-2</v>
      </c>
    </row>
    <row r="47" spans="4:17" x14ac:dyDescent="0.25">
      <c r="D47" s="13">
        <v>45</v>
      </c>
      <c r="E47" s="27">
        <v>46.900959958751521</v>
      </c>
      <c r="F47" s="37">
        <f t="shared" si="5"/>
        <v>47368.333784724055</v>
      </c>
      <c r="G47" s="39">
        <f t="shared" si="8"/>
        <v>-1.3146613229066382</v>
      </c>
      <c r="H47" s="40">
        <f t="shared" si="6"/>
        <v>9431.1875335876339</v>
      </c>
      <c r="I47" s="40">
        <f t="shared" si="1"/>
        <v>-394963.41509154608</v>
      </c>
      <c r="K47" s="38">
        <v>2.5000000000000001E-2</v>
      </c>
      <c r="L47" s="38">
        <f t="shared" si="3"/>
        <v>9.4311875335876344E-2</v>
      </c>
      <c r="M47">
        <f t="shared" si="4"/>
        <v>-1.3620954878091638</v>
      </c>
      <c r="N47">
        <f t="shared" si="2"/>
        <v>8.6583876069081092E-2</v>
      </c>
      <c r="P47" s="19"/>
      <c r="Q47" s="35">
        <f t="shared" si="7"/>
        <v>2.7303898254044334E-2</v>
      </c>
    </row>
    <row r="48" spans="4:17" x14ac:dyDescent="0.25">
      <c r="D48" s="13">
        <v>46</v>
      </c>
      <c r="E48" s="27">
        <v>46.428244713304039</v>
      </c>
      <c r="F48" s="37">
        <f t="shared" si="5"/>
        <v>42870.56933853087</v>
      </c>
      <c r="G48" s="39">
        <f t="shared" si="8"/>
        <v>-1.7162662240940965</v>
      </c>
      <c r="H48" s="40">
        <f t="shared" si="6"/>
        <v>4305.6663621931166</v>
      </c>
      <c r="I48" s="40">
        <f t="shared" si="1"/>
        <v>-157033.96217921271</v>
      </c>
      <c r="K48" s="38">
        <v>0.02</v>
      </c>
      <c r="L48" s="38">
        <f t="shared" si="3"/>
        <v>4.3056663621931168E-2</v>
      </c>
      <c r="M48">
        <f t="shared" si="4"/>
        <v>-1.7586926309652893</v>
      </c>
      <c r="N48">
        <f t="shared" si="2"/>
        <v>3.9314864856176759E-2</v>
      </c>
      <c r="Q48" s="35">
        <f t="shared" si="7"/>
        <v>-1.0130147140976042E-2</v>
      </c>
    </row>
    <row r="49" spans="4:17" x14ac:dyDescent="0.25">
      <c r="D49" s="13">
        <v>47</v>
      </c>
      <c r="E49" s="27">
        <v>46.673851062189641</v>
      </c>
      <c r="F49" s="37">
        <f t="shared" si="5"/>
        <v>43912.364151854767</v>
      </c>
      <c r="G49" s="39">
        <f t="shared" si="8"/>
        <v>-1.8470222816418811</v>
      </c>
      <c r="H49" s="40">
        <f t="shared" si="6"/>
        <v>3237.1955524713385</v>
      </c>
      <c r="I49" s="40">
        <f t="shared" si="1"/>
        <v>-107180.0189233752</v>
      </c>
      <c r="K49" s="38">
        <v>1.4999999999999999E-2</v>
      </c>
      <c r="L49" s="38">
        <f t="shared" si="3"/>
        <v>3.2371955524713385E-2</v>
      </c>
      <c r="M49">
        <f t="shared" si="4"/>
        <v>-1.8837646277836289</v>
      </c>
      <c r="N49">
        <f t="shared" si="2"/>
        <v>2.9798410077660768E-2</v>
      </c>
      <c r="Q49" s="35">
        <f t="shared" si="7"/>
        <v>5.2760771190953903E-3</v>
      </c>
    </row>
    <row r="50" spans="4:17" x14ac:dyDescent="0.25">
      <c r="D50" s="13">
        <v>48</v>
      </c>
      <c r="E50" s="27">
        <v>46.912451413959054</v>
      </c>
      <c r="F50" s="37">
        <f t="shared" si="5"/>
        <v>44674.041611610504</v>
      </c>
      <c r="G50" s="39">
        <f t="shared" si="8"/>
        <v>-2.1029958880403679</v>
      </c>
      <c r="H50" s="40">
        <f t="shared" si="6"/>
        <v>1773.3064468279731</v>
      </c>
      <c r="I50" s="40">
        <f t="shared" si="1"/>
        <v>-38516.110917267142</v>
      </c>
      <c r="K50" s="38">
        <v>0.01</v>
      </c>
      <c r="L50" s="38">
        <f t="shared" si="3"/>
        <v>1.7733064468279731E-2</v>
      </c>
      <c r="M50">
        <f t="shared" si="4"/>
        <v>-2.1329958880403677</v>
      </c>
      <c r="N50">
        <f t="shared" si="2"/>
        <v>1.6462531758638842E-2</v>
      </c>
      <c r="Q50" s="35">
        <f t="shared" si="7"/>
        <v>5.0990553623955215E-3</v>
      </c>
    </row>
    <row r="51" spans="4:17" x14ac:dyDescent="0.25">
      <c r="D51" s="13">
        <v>49</v>
      </c>
      <c r="E51" s="27">
        <v>47.637728786489639</v>
      </c>
      <c r="F51" s="37">
        <f t="shared" si="5"/>
        <v>45956.328848378747</v>
      </c>
      <c r="G51" s="39">
        <f t="shared" si="8"/>
        <v>-2.2661799633608708</v>
      </c>
      <c r="H51" s="40">
        <f t="shared" si="6"/>
        <v>1172.0183451211658</v>
      </c>
      <c r="I51" s="40">
        <f t="shared" si="1"/>
        <v>-9875.9632092937609</v>
      </c>
      <c r="K51" s="38">
        <v>5.0000000000000001E-3</v>
      </c>
      <c r="L51" s="38">
        <f t="shared" si="3"/>
        <v>1.1720183451211659E-2</v>
      </c>
      <c r="M51">
        <f t="shared" si="4"/>
        <v>-2.2873931667964671</v>
      </c>
      <c r="N51">
        <f t="shared" si="2"/>
        <v>1.1086442391440026E-2</v>
      </c>
      <c r="Q51" s="35">
        <f t="shared" si="7"/>
        <v>1.5341940056764702E-2</v>
      </c>
    </row>
    <row r="52" spans="4:17" x14ac:dyDescent="0.25">
      <c r="D52" s="13">
        <v>50</v>
      </c>
      <c r="E52" s="27">
        <v>48.20899898901672</v>
      </c>
      <c r="F52" s="37">
        <f>F51+H51*(E52-E51)+I51*(EXP(0.02*1/200)-1)</f>
        <v>46624.880360059178</v>
      </c>
      <c r="G52" s="17"/>
      <c r="H52" s="23"/>
      <c r="K52">
        <v>0</v>
      </c>
      <c r="Q52" s="35">
        <f t="shared" si="7"/>
        <v>1.1920635803333468E-2</v>
      </c>
    </row>
    <row r="53" spans="4:17" x14ac:dyDescent="0.25">
      <c r="D53" s="13"/>
    </row>
  </sheetData>
  <mergeCells count="1">
    <mergeCell ref="A1:B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022F-D376-4858-AD7E-97C00F71E641}">
  <dimension ref="A1:S53"/>
  <sheetViews>
    <sheetView showGridLines="0" zoomScale="90" zoomScaleNormal="90" workbookViewId="0">
      <pane ySplit="11" topLeftCell="A26" activePane="bottomLeft" state="frozen"/>
      <selection pane="bottomLeft" activeCell="E57" sqref="E57"/>
    </sheetView>
  </sheetViews>
  <sheetFormatPr defaultRowHeight="15" x14ac:dyDescent="0.25"/>
  <cols>
    <col min="1" max="1" width="20.85546875" bestFit="1" customWidth="1"/>
    <col min="2" max="2" width="14.42578125" customWidth="1"/>
    <col min="5" max="5" width="10.5703125" bestFit="1" customWidth="1"/>
    <col min="6" max="6" width="14.5703125" bestFit="1" customWidth="1"/>
    <col min="7" max="7" width="27" customWidth="1"/>
    <col min="8" max="8" width="12.5703125" bestFit="1" customWidth="1"/>
    <col min="9" max="9" width="22.28515625" bestFit="1" customWidth="1"/>
    <col min="10" max="10" width="12" bestFit="1" customWidth="1"/>
    <col min="11" max="11" width="16.85546875" customWidth="1"/>
    <col min="12" max="12" width="12.42578125" customWidth="1"/>
    <col min="16" max="16" width="10.85546875" customWidth="1"/>
    <col min="18" max="18" width="18.42578125" bestFit="1" customWidth="1"/>
    <col min="19" max="19" width="18" bestFit="1" customWidth="1"/>
  </cols>
  <sheetData>
    <row r="1" spans="1:19" ht="15.75" thickBot="1" x14ac:dyDescent="0.3">
      <c r="A1" s="56" t="s">
        <v>5</v>
      </c>
      <c r="B1" s="57"/>
      <c r="D1" s="14" t="s">
        <v>10</v>
      </c>
      <c r="E1" s="15" t="s">
        <v>7</v>
      </c>
      <c r="F1" s="15" t="s">
        <v>12</v>
      </c>
      <c r="G1" s="15" t="s">
        <v>11</v>
      </c>
      <c r="H1" s="15" t="s">
        <v>8</v>
      </c>
      <c r="I1" s="16" t="s">
        <v>9</v>
      </c>
      <c r="K1" s="28" t="s">
        <v>28</v>
      </c>
      <c r="L1" s="28" t="s">
        <v>27</v>
      </c>
      <c r="M1" s="28" t="s">
        <v>29</v>
      </c>
      <c r="N1" s="28" t="s">
        <v>30</v>
      </c>
      <c r="O1" s="28" t="s">
        <v>26</v>
      </c>
      <c r="R1" s="14" t="s">
        <v>19</v>
      </c>
      <c r="S1" s="24" t="s">
        <v>18</v>
      </c>
    </row>
    <row r="2" spans="1:19" ht="15.75" thickBot="1" x14ac:dyDescent="0.3">
      <c r="A2" s="1" t="s">
        <v>0</v>
      </c>
      <c r="B2" s="2">
        <v>50</v>
      </c>
      <c r="D2" s="13">
        <v>0</v>
      </c>
      <c r="E2" s="27">
        <v>50</v>
      </c>
      <c r="F2" s="37">
        <f>O2*100000</f>
        <v>310815.12162064441</v>
      </c>
      <c r="G2" s="39">
        <f>((0.02+(0.3^2)/2)*0.25)/(0.3*SQRT(0.25))</f>
        <v>0.10833333333333334</v>
      </c>
      <c r="H2" s="40">
        <f>L2*100000</f>
        <v>54313.435898599892</v>
      </c>
      <c r="I2" s="40">
        <f>F2-(H2*E2)</f>
        <v>-2404856.6733093504</v>
      </c>
      <c r="K2" s="38">
        <v>0.25</v>
      </c>
      <c r="L2" s="38">
        <f>_xlfn.NORM.DIST(G2,0,1,TRUE)</f>
        <v>0.54313435898599893</v>
      </c>
      <c r="M2">
        <f>G2-(0.3*SQRT(K2))</f>
        <v>-4.1666666666666657E-2</v>
      </c>
      <c r="N2">
        <f>_xlfn.NORM.DIST(M2,0,1,TRUE)</f>
        <v>0.48338221350963662</v>
      </c>
      <c r="O2" s="38">
        <f>(E2*L2)-50*EXP(-0.02*K2)*N2</f>
        <v>3.1081512162064442</v>
      </c>
      <c r="Q2" s="14" t="s">
        <v>17</v>
      </c>
      <c r="R2" s="25">
        <v>0.33794342711050412</v>
      </c>
      <c r="S2" s="26">
        <v>0.24901388231924659</v>
      </c>
    </row>
    <row r="3" spans="1:19" x14ac:dyDescent="0.25">
      <c r="A3" s="3" t="s">
        <v>1</v>
      </c>
      <c r="B3" s="4">
        <v>0.25</v>
      </c>
      <c r="D3" s="13">
        <v>1</v>
      </c>
      <c r="E3" s="27">
        <v>49.177203383731211</v>
      </c>
      <c r="F3" s="37">
        <f>F2+H2*(E3-E2)+I2*(EXP(0.02*1/200)-1)</f>
        <v>265885.71265332942</v>
      </c>
      <c r="G3" s="39">
        <f t="shared" ref="G3:G8" si="0">((LN(E3/50)+((0.02+(0.3^2)/2)*K3))/(0.3*SQRT(K3)))</f>
        <v>-4.4974359543540803E-3</v>
      </c>
      <c r="H3" s="40">
        <f>L3*100000</f>
        <v>49820.578869297708</v>
      </c>
      <c r="I3" s="40">
        <f t="shared" ref="I3:I51" si="1">F3-(H3*E3)</f>
        <v>-2184151.0270973453</v>
      </c>
      <c r="J3" s="36"/>
      <c r="K3" s="38">
        <v>0.245</v>
      </c>
      <c r="L3" s="38">
        <f>_xlfn.NORM.DIST(G3,0,1,TRUE)</f>
        <v>0.4982057886929771</v>
      </c>
      <c r="M3">
        <f>G3-(0.3*SQRT(K3))</f>
        <v>-0.15298986000352907</v>
      </c>
      <c r="N3">
        <f t="shared" ref="N3:N51" si="2">_xlfn.NORM.DIST(M3,0,1,TRUE)</f>
        <v>0.43920313584973025</v>
      </c>
      <c r="O3" s="38"/>
      <c r="P3" s="34">
        <f>LN(E3)-LN(E2)</f>
        <v>-1.6592835166867825E-2</v>
      </c>
      <c r="Q3" s="35">
        <f>LN(E3)-LN(E2)</f>
        <v>-1.6592835166867825E-2</v>
      </c>
      <c r="R3" s="30">
        <f>(AVERAGE(Q3:Q52))*200</f>
        <v>0.34879366922193356</v>
      </c>
      <c r="S3" s="31">
        <f>(STDEVA(Q3:Q52))*(SQRT(50*4))</f>
        <v>0.30359437378008103</v>
      </c>
    </row>
    <row r="4" spans="1:19" x14ac:dyDescent="0.25">
      <c r="A4" s="3" t="s">
        <v>2</v>
      </c>
      <c r="B4" s="5">
        <v>0.3</v>
      </c>
      <c r="D4" s="13">
        <v>2</v>
      </c>
      <c r="E4" s="27">
        <v>49.818076106404433</v>
      </c>
      <c r="F4" s="37">
        <f>F3+H3*(E4-E3)+I3*(EXP(0.02*1/200)-1)</f>
        <v>297595.93665462331</v>
      </c>
      <c r="G4" s="39">
        <f t="shared" si="0"/>
        <v>8.1342701425429167E-2</v>
      </c>
      <c r="H4" s="40">
        <f>L4*100000</f>
        <v>53241.529217226358</v>
      </c>
      <c r="I4" s="40">
        <f t="shared" si="1"/>
        <v>-2354794.6179105151</v>
      </c>
      <c r="J4" s="36"/>
      <c r="K4" s="38">
        <v>0.24</v>
      </c>
      <c r="L4" s="38">
        <f>_xlfn.NORM.DIST(G4,0,1,TRUE)</f>
        <v>0.53241529217226358</v>
      </c>
      <c r="M4">
        <f>G4-(0.3*SQRT(K4))</f>
        <v>-6.5626683141561518E-2</v>
      </c>
      <c r="N4">
        <f t="shared" si="2"/>
        <v>0.47383752241358057</v>
      </c>
      <c r="P4" s="33"/>
      <c r="Q4" s="35">
        <f>LN(E4)-LN(E3)</f>
        <v>1.2947721934379874E-2</v>
      </c>
    </row>
    <row r="5" spans="1:19" x14ac:dyDescent="0.25">
      <c r="A5" s="3" t="s">
        <v>3</v>
      </c>
      <c r="B5" s="6">
        <v>0.02</v>
      </c>
      <c r="D5" s="13">
        <v>3</v>
      </c>
      <c r="E5" s="27">
        <v>51.179054758279193</v>
      </c>
      <c r="F5" s="37">
        <f>F4+H4*(E5-E4)+I4*(EXP(0.02*1/200)-1)</f>
        <v>369821.03007627797</v>
      </c>
      <c r="G5" s="39">
        <f t="shared" si="0"/>
        <v>0.26529774586989668</v>
      </c>
      <c r="H5" s="40">
        <f>L5*100000</f>
        <v>60460.994957387062</v>
      </c>
      <c r="I5" s="40">
        <f>F5-(H5*E5)</f>
        <v>-2724515.5415878766</v>
      </c>
      <c r="K5" s="38">
        <v>0.23499999999999999</v>
      </c>
      <c r="L5" s="38">
        <f t="shared" ref="L5:L51" si="3">_xlfn.NORM.DIST(G5,0,1,TRUE)</f>
        <v>0.6046099495738706</v>
      </c>
      <c r="M5">
        <f t="shared" ref="M5:M51" si="4">G5-(0.3*SQRT(K5))</f>
        <v>0.11986735014740682</v>
      </c>
      <c r="N5">
        <f t="shared" si="2"/>
        <v>0.54770588562086098</v>
      </c>
      <c r="Q5" s="35">
        <f>LN(E5)-LN(E4)</f>
        <v>2.6952469398631607E-2</v>
      </c>
    </row>
    <row r="6" spans="1:19" x14ac:dyDescent="0.25">
      <c r="A6" s="7" t="s">
        <v>4</v>
      </c>
      <c r="B6" s="8">
        <v>50</v>
      </c>
      <c r="D6" s="13">
        <v>4</v>
      </c>
      <c r="E6" s="27">
        <v>50.332766680037551</v>
      </c>
      <c r="F6" s="37">
        <f>F5+H5*(E6-E5)+I5*(EXP(0.02*1/200)-1)</f>
        <v>318381.14566802257</v>
      </c>
      <c r="G6" s="39">
        <f t="shared" si="0"/>
        <v>0.15001419835733459</v>
      </c>
      <c r="H6" s="40">
        <f>L6*100000</f>
        <v>55962.329332277935</v>
      </c>
      <c r="I6" s="40">
        <f t="shared" si="1"/>
        <v>-2498357.7194849448</v>
      </c>
      <c r="K6" s="38">
        <v>0.23</v>
      </c>
      <c r="L6" s="38">
        <f t="shared" si="3"/>
        <v>0.55962329332277938</v>
      </c>
      <c r="M6">
        <f t="shared" si="4"/>
        <v>6.1392526579530093E-3</v>
      </c>
      <c r="N6">
        <f t="shared" si="2"/>
        <v>0.50244919207013372</v>
      </c>
      <c r="Q6" s="35">
        <f>LN(E6)-LN(E5)</f>
        <v>-1.667407152334599E-2</v>
      </c>
    </row>
    <row r="7" spans="1:19" ht="15.75" thickBot="1" x14ac:dyDescent="0.3">
      <c r="A7" s="3" t="s">
        <v>13</v>
      </c>
      <c r="B7" s="21">
        <v>100000</v>
      </c>
      <c r="D7" s="13">
        <v>5</v>
      </c>
      <c r="E7" s="27">
        <v>52.61925563338847</v>
      </c>
      <c r="F7" s="37">
        <f t="shared" ref="F7:F51" si="5">F6+H6*(E7-E6)+I6*(EXP(0.02*1/200)-1)</f>
        <v>446088.54522590857</v>
      </c>
      <c r="G7" s="39">
        <f t="shared" si="0"/>
        <v>0.46158097327221609</v>
      </c>
      <c r="H7" s="40">
        <f t="shared" ref="H7:H51" si="6">L7*100000</f>
        <v>67780.907920249942</v>
      </c>
      <c r="I7" s="40">
        <f t="shared" si="1"/>
        <v>-3120492.3756928882</v>
      </c>
      <c r="K7" s="38">
        <v>0.22500000000000001</v>
      </c>
      <c r="L7" s="38">
        <f t="shared" si="3"/>
        <v>0.67780907920249944</v>
      </c>
      <c r="M7">
        <f t="shared" si="4"/>
        <v>0.31927847856463903</v>
      </c>
      <c r="N7">
        <f t="shared" si="2"/>
        <v>0.62524232452403417</v>
      </c>
      <c r="Q7" s="35">
        <f>LN(E7)-LN(E6)</f>
        <v>4.4425839363390285E-2</v>
      </c>
    </row>
    <row r="8" spans="1:19" ht="15.75" thickBot="1" x14ac:dyDescent="0.3">
      <c r="A8" s="22" t="s">
        <v>16</v>
      </c>
      <c r="B8" s="11">
        <v>50</v>
      </c>
      <c r="D8" s="13">
        <v>6</v>
      </c>
      <c r="E8" s="27">
        <v>54.685272283826414</v>
      </c>
      <c r="F8" s="37">
        <f t="shared" si="5"/>
        <v>585812.96473039477</v>
      </c>
      <c r="G8" s="39">
        <f t="shared" si="0"/>
        <v>0.7381820560432174</v>
      </c>
      <c r="H8" s="40">
        <f t="shared" si="6"/>
        <v>76979.808726731149</v>
      </c>
      <c r="I8" s="40">
        <f t="shared" si="1"/>
        <v>-3623848.8358477745</v>
      </c>
      <c r="K8" s="38">
        <v>0.22</v>
      </c>
      <c r="L8" s="38">
        <f t="shared" si="3"/>
        <v>0.76979808726731147</v>
      </c>
      <c r="M8">
        <f t="shared" si="4"/>
        <v>0.59746958324851451</v>
      </c>
      <c r="N8">
        <f t="shared" si="2"/>
        <v>0.7249030456175235</v>
      </c>
      <c r="Q8" s="35">
        <f t="shared" ref="Q8:Q52" si="7">LN(E8)-LN(E7)</f>
        <v>3.8512298472331619E-2</v>
      </c>
    </row>
    <row r="9" spans="1:19" x14ac:dyDescent="0.25">
      <c r="A9" s="10" t="s">
        <v>6</v>
      </c>
      <c r="B9" s="12">
        <v>0.10833333333333334</v>
      </c>
      <c r="D9" s="13">
        <v>7</v>
      </c>
      <c r="E9" s="27">
        <v>56.008340590920142</v>
      </c>
      <c r="F9" s="37">
        <f t="shared" si="5"/>
        <v>687300.10693943675</v>
      </c>
      <c r="G9" s="39">
        <f t="shared" ref="G9:G51" si="8">((LN(E9/50)+((0.02+(0.3^2)/2)*K9))/(0.3*SQRT(K9)))</f>
        <v>0.91623791656695985</v>
      </c>
      <c r="H9" s="40">
        <f t="shared" si="6"/>
        <v>82022.893877512455</v>
      </c>
      <c r="I9" s="40">
        <f t="shared" si="1"/>
        <v>-3906666.0696051791</v>
      </c>
      <c r="K9" s="38">
        <v>0.215</v>
      </c>
      <c r="L9" s="38">
        <f t="shared" si="3"/>
        <v>0.82022893877512459</v>
      </c>
      <c r="M9">
        <f t="shared" si="4"/>
        <v>0.77713363913452427</v>
      </c>
      <c r="N9">
        <f t="shared" si="2"/>
        <v>0.78146003542149711</v>
      </c>
      <c r="Q9" s="35">
        <f t="shared" si="7"/>
        <v>2.3906190861727517E-2</v>
      </c>
    </row>
    <row r="10" spans="1:19" ht="15.75" thickBot="1" x14ac:dyDescent="0.3">
      <c r="A10" s="9" t="s">
        <v>14</v>
      </c>
      <c r="B10" s="41">
        <f>O2*100000</f>
        <v>310815.12162064441</v>
      </c>
      <c r="D10" s="13">
        <v>8</v>
      </c>
      <c r="E10" s="27">
        <v>56.069324980316836</v>
      </c>
      <c r="F10" s="37">
        <f t="shared" si="5"/>
        <v>691911.53689816454</v>
      </c>
      <c r="G10" s="39">
        <f t="shared" si="8"/>
        <v>0.93263319070231687</v>
      </c>
      <c r="H10" s="40">
        <f t="shared" si="6"/>
        <v>82449.530482379574</v>
      </c>
      <c r="I10" s="40">
        <f t="shared" si="1"/>
        <v>-3930977.9821929145</v>
      </c>
      <c r="K10" s="38">
        <v>0.21</v>
      </c>
      <c r="L10" s="38">
        <f t="shared" si="3"/>
        <v>0.82449530482379574</v>
      </c>
      <c r="M10">
        <f t="shared" si="4"/>
        <v>0.79515591985364165</v>
      </c>
      <c r="N10">
        <f t="shared" si="2"/>
        <v>0.78673859524760836</v>
      </c>
      <c r="Q10" s="35">
        <f t="shared" si="7"/>
        <v>1.0882524203994492E-3</v>
      </c>
    </row>
    <row r="11" spans="1:19" ht="15.75" thickBot="1" x14ac:dyDescent="0.3">
      <c r="A11" s="20" t="s">
        <v>15</v>
      </c>
      <c r="B11" s="32">
        <f>F52-(MAX(E52-B6,0)*B7)</f>
        <v>-20263.072773929278</v>
      </c>
      <c r="D11" s="13">
        <v>9</v>
      </c>
      <c r="E11" s="27">
        <v>56.525448027118088</v>
      </c>
      <c r="F11" s="37">
        <f t="shared" si="5"/>
        <v>729125.55049535574</v>
      </c>
      <c r="G11" s="39">
        <f t="shared" si="8"/>
        <v>1.0011938517341803</v>
      </c>
      <c r="H11" s="40">
        <f t="shared" si="6"/>
        <v>84163.345079941733</v>
      </c>
      <c r="I11" s="40">
        <f t="shared" si="1"/>
        <v>-4028245.2376092956</v>
      </c>
      <c r="K11" s="38">
        <v>0.20499999999999999</v>
      </c>
      <c r="L11" s="38">
        <f t="shared" si="3"/>
        <v>0.84163345079941732</v>
      </c>
      <c r="M11">
        <f t="shared" si="4"/>
        <v>0.86536307466211904</v>
      </c>
      <c r="N11">
        <f t="shared" si="2"/>
        <v>0.80658022933889084</v>
      </c>
      <c r="Q11" s="35">
        <f t="shared" si="7"/>
        <v>8.102073120177522E-3</v>
      </c>
    </row>
    <row r="12" spans="1:19" x14ac:dyDescent="0.25">
      <c r="D12" s="13">
        <v>10</v>
      </c>
      <c r="E12" s="27">
        <v>56.388090333689135</v>
      </c>
      <c r="F12" s="37">
        <f t="shared" si="5"/>
        <v>717162.22287825122</v>
      </c>
      <c r="G12" s="39">
        <f t="shared" si="8"/>
        <v>0.99307480677331528</v>
      </c>
      <c r="H12" s="40">
        <f t="shared" si="6"/>
        <v>83966.324984004139</v>
      </c>
      <c r="I12" s="40">
        <f t="shared" si="1"/>
        <v>-4017538.4953076728</v>
      </c>
      <c r="K12" s="38">
        <v>0.2</v>
      </c>
      <c r="L12" s="38">
        <f t="shared" si="3"/>
        <v>0.83966324984004137</v>
      </c>
      <c r="M12">
        <f t="shared" si="4"/>
        <v>0.85891072812332792</v>
      </c>
      <c r="N12">
        <f t="shared" si="2"/>
        <v>0.80480511493774254</v>
      </c>
      <c r="Q12" s="35">
        <f t="shared" si="7"/>
        <v>-2.4329723995677455E-3</v>
      </c>
    </row>
    <row r="13" spans="1:19" x14ac:dyDescent="0.25">
      <c r="D13" s="13">
        <v>11</v>
      </c>
      <c r="E13" s="27">
        <v>55.187382019400445</v>
      </c>
      <c r="F13" s="37">
        <f t="shared" si="5"/>
        <v>615941.38441179832</v>
      </c>
      <c r="G13" s="39">
        <f t="shared" si="8"/>
        <v>0.84080126115893794</v>
      </c>
      <c r="H13" s="40">
        <f t="shared" si="6"/>
        <v>79977.035974506318</v>
      </c>
      <c r="I13" s="40">
        <f t="shared" si="1"/>
        <v>-3797781.8526926138</v>
      </c>
      <c r="K13" s="38">
        <v>0.19500000000000001</v>
      </c>
      <c r="L13" s="38">
        <f t="shared" si="3"/>
        <v>0.79977035974506316</v>
      </c>
      <c r="M13">
        <f t="shared" si="4"/>
        <v>0.7083248481640203</v>
      </c>
      <c r="N13">
        <f t="shared" si="2"/>
        <v>0.76062822510018768</v>
      </c>
      <c r="Q13" s="35">
        <f t="shared" si="7"/>
        <v>-2.1523631361317186E-2</v>
      </c>
    </row>
    <row r="14" spans="1:19" x14ac:dyDescent="0.25">
      <c r="D14" s="13">
        <v>12</v>
      </c>
      <c r="E14" s="27">
        <v>55.611356879786555</v>
      </c>
      <c r="F14" s="37">
        <f t="shared" si="5"/>
        <v>649469.83989837288</v>
      </c>
      <c r="G14" s="39">
        <f t="shared" si="8"/>
        <v>0.90783197726117659</v>
      </c>
      <c r="H14" s="40">
        <f t="shared" si="6"/>
        <v>81801.649957882662</v>
      </c>
      <c r="I14" s="40">
        <f t="shared" si="1"/>
        <v>-3899630.9092648169</v>
      </c>
      <c r="K14" s="38">
        <v>0.19</v>
      </c>
      <c r="L14" s="38">
        <f t="shared" si="3"/>
        <v>0.81801649957882661</v>
      </c>
      <c r="M14">
        <f t="shared" si="4"/>
        <v>0.77706500895495645</v>
      </c>
      <c r="N14">
        <f t="shared" si="2"/>
        <v>0.78143979154889165</v>
      </c>
      <c r="Q14" s="35">
        <f t="shared" si="7"/>
        <v>7.6531002779463009E-3</v>
      </c>
    </row>
    <row r="15" spans="1:19" x14ac:dyDescent="0.25">
      <c r="D15" s="13">
        <v>13</v>
      </c>
      <c r="E15" s="27">
        <v>55.943078537374269</v>
      </c>
      <c r="F15" s="37">
        <f t="shared" si="5"/>
        <v>676215.23622608057</v>
      </c>
      <c r="G15" s="39">
        <f t="shared" si="8"/>
        <v>0.96358995827344018</v>
      </c>
      <c r="H15" s="40">
        <f t="shared" si="6"/>
        <v>83237.422836061291</v>
      </c>
      <c r="I15" s="40">
        <f t="shared" si="1"/>
        <v>-3980342.4467403269</v>
      </c>
      <c r="K15" s="38">
        <v>0.185</v>
      </c>
      <c r="L15" s="38">
        <f t="shared" si="3"/>
        <v>0.83237422836061292</v>
      </c>
      <c r="M15">
        <f t="shared" si="4"/>
        <v>0.83455507926780081</v>
      </c>
      <c r="N15">
        <f t="shared" si="2"/>
        <v>0.79801586836477723</v>
      </c>
      <c r="Q15" s="35">
        <f t="shared" si="7"/>
        <v>5.9472782789775636E-3</v>
      </c>
    </row>
    <row r="16" spans="1:19" x14ac:dyDescent="0.25">
      <c r="D16" s="13">
        <v>14</v>
      </c>
      <c r="E16" s="27">
        <v>57.200344882802348</v>
      </c>
      <c r="F16" s="37">
        <f t="shared" si="5"/>
        <v>780468.7924909771</v>
      </c>
      <c r="G16" s="39">
        <f t="shared" si="8"/>
        <v>1.1489457717770601</v>
      </c>
      <c r="H16" s="40">
        <f t="shared" si="6"/>
        <v>87471.082891902523</v>
      </c>
      <c r="I16" s="40">
        <f t="shared" si="1"/>
        <v>-4222907.3161980398</v>
      </c>
      <c r="K16" s="38">
        <v>0.18</v>
      </c>
      <c r="L16" s="38">
        <f t="shared" si="3"/>
        <v>0.87471082891902519</v>
      </c>
      <c r="M16">
        <f t="shared" si="4"/>
        <v>1.0216665511634817</v>
      </c>
      <c r="N16">
        <f t="shared" si="2"/>
        <v>0.84653062627497311</v>
      </c>
      <c r="Q16" s="35">
        <f t="shared" si="7"/>
        <v>2.2225208682187692E-2</v>
      </c>
    </row>
    <row r="17" spans="4:17" x14ac:dyDescent="0.25">
      <c r="D17" s="13">
        <v>15</v>
      </c>
      <c r="E17" s="27">
        <v>56.783299628797472</v>
      </c>
      <c r="F17" s="37">
        <f t="shared" si="5"/>
        <v>743567.08066138159</v>
      </c>
      <c r="G17" s="39">
        <f t="shared" si="8"/>
        <v>1.1043454692965042</v>
      </c>
      <c r="H17" s="40">
        <f t="shared" si="6"/>
        <v>86527.834708326394</v>
      </c>
      <c r="I17" s="40">
        <f t="shared" si="1"/>
        <v>-4169768.8838125775</v>
      </c>
      <c r="K17" s="38">
        <v>0.17499999999999999</v>
      </c>
      <c r="L17" s="38">
        <f t="shared" si="3"/>
        <v>0.8652783470832639</v>
      </c>
      <c r="M17">
        <f t="shared" si="4"/>
        <v>0.97884646531639286</v>
      </c>
      <c r="N17">
        <f t="shared" si="2"/>
        <v>0.83617207644381331</v>
      </c>
      <c r="Q17" s="35">
        <f t="shared" si="7"/>
        <v>-7.3176659123905807E-3</v>
      </c>
    </row>
    <row r="18" spans="4:17" x14ac:dyDescent="0.25">
      <c r="D18" s="13">
        <v>16</v>
      </c>
      <c r="E18" s="27">
        <v>54.863529399670036</v>
      </c>
      <c r="F18" s="37">
        <f t="shared" si="5"/>
        <v>577036.52185955597</v>
      </c>
      <c r="G18" s="39">
        <f t="shared" si="8"/>
        <v>0.83978617178419401</v>
      </c>
      <c r="H18" s="40">
        <f t="shared" si="6"/>
        <v>79948.58559392317</v>
      </c>
      <c r="I18" s="40">
        <f t="shared" si="1"/>
        <v>-3809225.0543346838</v>
      </c>
      <c r="K18" s="38">
        <v>0.17</v>
      </c>
      <c r="L18" s="38">
        <f t="shared" si="3"/>
        <v>0.79948585593923172</v>
      </c>
      <c r="M18">
        <f t="shared" si="4"/>
        <v>0.71609300301566425</v>
      </c>
      <c r="N18">
        <f t="shared" si="2"/>
        <v>0.76303303802919142</v>
      </c>
      <c r="Q18" s="35">
        <f t="shared" si="7"/>
        <v>-3.4393443770680321E-2</v>
      </c>
    </row>
    <row r="19" spans="4:17" x14ac:dyDescent="0.25">
      <c r="D19" s="13">
        <v>17</v>
      </c>
      <c r="E19" s="27">
        <v>54.873639390653928</v>
      </c>
      <c r="F19" s="37">
        <f t="shared" si="5"/>
        <v>577463.85978689161</v>
      </c>
      <c r="G19" s="39">
        <f t="shared" si="8"/>
        <v>0.85126030339175662</v>
      </c>
      <c r="H19" s="40">
        <f t="shared" si="6"/>
        <v>80268.761449139565</v>
      </c>
      <c r="I19" s="40">
        <f t="shared" si="1"/>
        <v>-3827175.2103076167</v>
      </c>
      <c r="K19" s="38">
        <v>0.16500000000000001</v>
      </c>
      <c r="L19" s="38">
        <f t="shared" si="3"/>
        <v>0.8026876144913957</v>
      </c>
      <c r="M19">
        <f t="shared" si="4"/>
        <v>0.72939972732221725</v>
      </c>
      <c r="N19">
        <f t="shared" si="2"/>
        <v>0.76712140772447734</v>
      </c>
      <c r="Q19" s="35">
        <f t="shared" si="7"/>
        <v>1.8425828047075044E-4</v>
      </c>
    </row>
    <row r="20" spans="4:17" x14ac:dyDescent="0.25">
      <c r="D20" s="13">
        <v>18</v>
      </c>
      <c r="E20" s="27">
        <v>53.033929681753484</v>
      </c>
      <c r="F20" s="37">
        <f t="shared" si="5"/>
        <v>429409.90336995106</v>
      </c>
      <c r="G20" s="39">
        <f t="shared" si="8"/>
        <v>0.57757404974213078</v>
      </c>
      <c r="H20" s="40">
        <f t="shared" si="6"/>
        <v>71822.413439185693</v>
      </c>
      <c r="I20" s="40">
        <f t="shared" si="1"/>
        <v>-3379614.9205376497</v>
      </c>
      <c r="K20" s="38">
        <v>0.16</v>
      </c>
      <c r="L20" s="38">
        <f t="shared" si="3"/>
        <v>0.71822413439185695</v>
      </c>
      <c r="M20">
        <f t="shared" si="4"/>
        <v>0.45757404974213078</v>
      </c>
      <c r="N20">
        <f t="shared" si="2"/>
        <v>0.67637075463420471</v>
      </c>
      <c r="Q20" s="35">
        <f t="shared" si="7"/>
        <v>-3.4101184987394895E-2</v>
      </c>
    </row>
    <row r="21" spans="4:17" x14ac:dyDescent="0.25">
      <c r="D21" s="13">
        <v>19</v>
      </c>
      <c r="E21" s="27">
        <v>52.669933913836729</v>
      </c>
      <c r="F21" s="37">
        <f t="shared" si="5"/>
        <v>402928.87044582819</v>
      </c>
      <c r="G21" s="39">
        <f t="shared" si="8"/>
        <v>0.52575320674290649</v>
      </c>
      <c r="H21" s="40">
        <f t="shared" si="6"/>
        <v>70047.01548091085</v>
      </c>
      <c r="I21" s="40">
        <f t="shared" si="1"/>
        <v>-3286442.8057952449</v>
      </c>
      <c r="K21" s="38">
        <v>0.155</v>
      </c>
      <c r="L21" s="38">
        <f t="shared" si="3"/>
        <v>0.70047015480910857</v>
      </c>
      <c r="M21">
        <f t="shared" si="4"/>
        <v>0.40764308863272936</v>
      </c>
      <c r="N21">
        <f t="shared" si="2"/>
        <v>0.65823213734040709</v>
      </c>
      <c r="Q21" s="35">
        <f t="shared" si="7"/>
        <v>-6.8871126238465585E-3</v>
      </c>
    </row>
    <row r="22" spans="4:17" x14ac:dyDescent="0.25">
      <c r="D22" s="13">
        <v>20</v>
      </c>
      <c r="E22" s="27">
        <v>52.526642414850777</v>
      </c>
      <c r="F22" s="37">
        <f t="shared" si="5"/>
        <v>392563.06788473483</v>
      </c>
      <c r="G22" s="39">
        <f t="shared" si="8"/>
        <v>0.50820005095183185</v>
      </c>
      <c r="H22" s="40">
        <f t="shared" si="6"/>
        <v>69434.347242638265</v>
      </c>
      <c r="I22" s="40">
        <f t="shared" si="1"/>
        <v>-3254590.0610379055</v>
      </c>
      <c r="K22" s="38">
        <v>0.15</v>
      </c>
      <c r="L22" s="38">
        <f t="shared" si="3"/>
        <v>0.69434347242638261</v>
      </c>
      <c r="M22">
        <f t="shared" si="4"/>
        <v>0.39201055056560935</v>
      </c>
      <c r="N22">
        <f t="shared" si="2"/>
        <v>0.65247479087776317</v>
      </c>
      <c r="Q22" s="35">
        <f t="shared" si="7"/>
        <v>-2.7242633288628859E-3</v>
      </c>
    </row>
    <row r="23" spans="4:17" x14ac:dyDescent="0.25">
      <c r="D23" s="13">
        <v>21</v>
      </c>
      <c r="E23" s="27">
        <v>51.932710638205215</v>
      </c>
      <c r="F23" s="37">
        <f t="shared" si="5"/>
        <v>350998.32738709316</v>
      </c>
      <c r="G23" s="39">
        <f t="shared" si="8"/>
        <v>0.4144980715841588</v>
      </c>
      <c r="H23" s="40">
        <f t="shared" si="6"/>
        <v>66074.531048253819</v>
      </c>
      <c r="I23" s="40">
        <f t="shared" si="1"/>
        <v>-3080431.1740969787</v>
      </c>
      <c r="K23" s="38">
        <v>0.14499999999999999</v>
      </c>
      <c r="L23" s="38">
        <f t="shared" si="3"/>
        <v>0.66074531048253815</v>
      </c>
      <c r="M23">
        <f t="shared" si="4"/>
        <v>0.30026147499620021</v>
      </c>
      <c r="N23">
        <f t="shared" si="2"/>
        <v>0.61801114165424154</v>
      </c>
      <c r="Q23" s="35">
        <f t="shared" si="7"/>
        <v>-1.137166102629994E-2</v>
      </c>
    </row>
    <row r="24" spans="4:17" x14ac:dyDescent="0.25">
      <c r="D24" s="13">
        <v>22</v>
      </c>
      <c r="E24" s="27">
        <v>54.012795749454973</v>
      </c>
      <c r="F24" s="37">
        <f t="shared" si="5"/>
        <v>488130.91713329672</v>
      </c>
      <c r="G24" s="39">
        <f t="shared" si="8"/>
        <v>0.76880343359983172</v>
      </c>
      <c r="H24" s="40">
        <f t="shared" si="6"/>
        <v>77899.499488109388</v>
      </c>
      <c r="I24" s="40">
        <f t="shared" si="1"/>
        <v>-3719438.8377027279</v>
      </c>
      <c r="K24" s="38">
        <v>0.14000000000000001</v>
      </c>
      <c r="L24" s="38">
        <f t="shared" si="3"/>
        <v>0.77899499488109392</v>
      </c>
      <c r="M24">
        <f t="shared" si="4"/>
        <v>0.6565537119966135</v>
      </c>
      <c r="N24">
        <f t="shared" si="2"/>
        <v>0.74426603990328899</v>
      </c>
      <c r="Q24" s="35">
        <f t="shared" si="7"/>
        <v>3.9272122399133025E-2</v>
      </c>
    </row>
    <row r="25" spans="4:17" x14ac:dyDescent="0.25">
      <c r="D25" s="13">
        <v>23</v>
      </c>
      <c r="E25" s="27">
        <v>51.510769702463499</v>
      </c>
      <c r="F25" s="37">
        <f t="shared" si="5"/>
        <v>292852.37788486347</v>
      </c>
      <c r="G25" s="39">
        <f t="shared" si="8"/>
        <v>0.34966829705071389</v>
      </c>
      <c r="H25" s="40">
        <f t="shared" si="6"/>
        <v>63670.617562271902</v>
      </c>
      <c r="I25" s="40">
        <f t="shared" si="1"/>
        <v>-2986870.1401789524</v>
      </c>
      <c r="K25" s="38">
        <v>0.13500000000000001</v>
      </c>
      <c r="L25" s="38">
        <f t="shared" si="3"/>
        <v>0.63670617562271903</v>
      </c>
      <c r="M25">
        <f t="shared" si="4"/>
        <v>0.23944125862547089</v>
      </c>
      <c r="N25">
        <f t="shared" si="2"/>
        <v>0.59461827974679837</v>
      </c>
      <c r="Q25" s="35">
        <f t="shared" si="7"/>
        <v>-4.7430070574080663E-2</v>
      </c>
    </row>
    <row r="26" spans="4:17" x14ac:dyDescent="0.25">
      <c r="D26" s="13">
        <v>24</v>
      </c>
      <c r="E26" s="27">
        <v>51.92709992353214</v>
      </c>
      <c r="F26" s="37">
        <f t="shared" si="5"/>
        <v>319061.67822127446</v>
      </c>
      <c r="G26" s="39">
        <f t="shared" si="8"/>
        <v>0.42774600844951421</v>
      </c>
      <c r="H26" s="40">
        <f t="shared" si="6"/>
        <v>66558.197530342732</v>
      </c>
      <c r="I26" s="40">
        <f t="shared" si="1"/>
        <v>-3137112.4956670227</v>
      </c>
      <c r="K26" s="38">
        <v>0.13</v>
      </c>
      <c r="L26" s="38">
        <f t="shared" si="3"/>
        <v>0.66558197530342733</v>
      </c>
      <c r="M26">
        <f t="shared" si="4"/>
        <v>0.31957947018559452</v>
      </c>
      <c r="N26">
        <f t="shared" si="2"/>
        <v>0.62535643036595623</v>
      </c>
      <c r="Q26" s="35">
        <f t="shared" si="7"/>
        <v>8.0499041750949907E-3</v>
      </c>
    </row>
    <row r="27" spans="4:17" x14ac:dyDescent="0.25">
      <c r="D27" s="13">
        <v>25</v>
      </c>
      <c r="E27" s="27">
        <v>52.240776306307183</v>
      </c>
      <c r="F27" s="37">
        <f t="shared" si="5"/>
        <v>339625.68593096698</v>
      </c>
      <c r="G27" s="39">
        <f t="shared" si="8"/>
        <v>0.48993392222399845</v>
      </c>
      <c r="H27" s="40">
        <f t="shared" si="6"/>
        <v>68790.967106957207</v>
      </c>
      <c r="I27" s="40">
        <f t="shared" si="1"/>
        <v>-3254067.83859812</v>
      </c>
      <c r="K27" s="38">
        <v>0.125</v>
      </c>
      <c r="L27" s="38">
        <f t="shared" si="3"/>
        <v>0.68790967106957202</v>
      </c>
      <c r="M27">
        <f t="shared" si="4"/>
        <v>0.38386790504601631</v>
      </c>
      <c r="N27">
        <f t="shared" si="2"/>
        <v>0.6494618223116666</v>
      </c>
      <c r="Q27" s="35">
        <f t="shared" si="7"/>
        <v>6.0225348204934193E-3</v>
      </c>
    </row>
    <row r="28" spans="4:17" x14ac:dyDescent="0.25">
      <c r="D28" s="13">
        <v>26</v>
      </c>
      <c r="E28" s="27">
        <v>52.326767299547164</v>
      </c>
      <c r="F28" s="37">
        <f t="shared" si="5"/>
        <v>345215.66646369162</v>
      </c>
      <c r="G28" s="39">
        <f t="shared" si="8"/>
        <v>0.51273551497436198</v>
      </c>
      <c r="H28" s="40">
        <f t="shared" si="6"/>
        <v>69593.182848019525</v>
      </c>
      <c r="I28" s="40">
        <f t="shared" si="1"/>
        <v>-3296370.6180594629</v>
      </c>
      <c r="K28" s="38">
        <v>0.12</v>
      </c>
      <c r="L28" s="38">
        <f t="shared" si="3"/>
        <v>0.69593182848019519</v>
      </c>
      <c r="M28">
        <f t="shared" si="4"/>
        <v>0.40881246652022935</v>
      </c>
      <c r="N28">
        <f t="shared" si="2"/>
        <v>0.65866135477300136</v>
      </c>
      <c r="Q28" s="35">
        <f t="shared" si="7"/>
        <v>1.6446979561481889E-3</v>
      </c>
    </row>
    <row r="29" spans="4:17" x14ac:dyDescent="0.25">
      <c r="D29" s="13">
        <v>27</v>
      </c>
      <c r="E29" s="27">
        <v>50.264426600929255</v>
      </c>
      <c r="F29" s="37">
        <f t="shared" si="5"/>
        <v>201361.15958565456</v>
      </c>
      <c r="G29" s="39">
        <f t="shared" si="8"/>
        <v>0.12532169991081729</v>
      </c>
      <c r="H29" s="40">
        <f t="shared" si="6"/>
        <v>54986.556321619086</v>
      </c>
      <c r="I29" s="40">
        <f t="shared" si="1"/>
        <v>-2562506.5646802303</v>
      </c>
      <c r="K29" s="38">
        <v>0.115</v>
      </c>
      <c r="L29" s="38">
        <f t="shared" si="3"/>
        <v>0.54986556321619084</v>
      </c>
      <c r="M29">
        <f t="shared" si="4"/>
        <v>2.3586750163938269E-2</v>
      </c>
      <c r="N29">
        <f t="shared" si="2"/>
        <v>0.50940887947508506</v>
      </c>
      <c r="Q29" s="35">
        <f t="shared" si="7"/>
        <v>-4.0210440924214552E-2</v>
      </c>
    </row>
    <row r="30" spans="4:17" x14ac:dyDescent="0.25">
      <c r="D30" s="13">
        <v>28</v>
      </c>
      <c r="E30" s="27">
        <v>50.873437971361099</v>
      </c>
      <c r="F30" s="37">
        <f t="shared" si="5"/>
        <v>234592.33413698353</v>
      </c>
      <c r="G30" s="39">
        <f t="shared" si="8"/>
        <v>0.24591199531905983</v>
      </c>
      <c r="H30" s="40">
        <f t="shared" si="6"/>
        <v>59712.482100313755</v>
      </c>
      <c r="I30" s="40">
        <f t="shared" si="1"/>
        <v>-2803186.9201093381</v>
      </c>
      <c r="K30" s="38">
        <v>0.11</v>
      </c>
      <c r="L30" s="38">
        <f t="shared" si="3"/>
        <v>0.59712482100313757</v>
      </c>
      <c r="M30">
        <f t="shared" si="4"/>
        <v>0.14641325160839785</v>
      </c>
      <c r="N30">
        <f t="shared" si="2"/>
        <v>0.55820241661499781</v>
      </c>
      <c r="Q30" s="35">
        <f t="shared" si="7"/>
        <v>1.204333775500821E-2</v>
      </c>
    </row>
    <row r="31" spans="4:17" x14ac:dyDescent="0.25">
      <c r="D31" s="13">
        <v>29</v>
      </c>
      <c r="E31" s="27">
        <v>50.347026637568177</v>
      </c>
      <c r="F31" s="37">
        <f t="shared" si="5"/>
        <v>202878.67408205854</v>
      </c>
      <c r="G31" s="39">
        <f t="shared" si="8"/>
        <v>0.14135789678605751</v>
      </c>
      <c r="H31" s="40">
        <f t="shared" si="6"/>
        <v>55620.639314344931</v>
      </c>
      <c r="I31" s="40">
        <f t="shared" si="1"/>
        <v>-2597455.1350758374</v>
      </c>
      <c r="K31" s="38">
        <v>0.105</v>
      </c>
      <c r="L31" s="38">
        <f t="shared" si="3"/>
        <v>0.55620639314344933</v>
      </c>
      <c r="M31">
        <f t="shared" si="4"/>
        <v>4.4146786309939609E-2</v>
      </c>
      <c r="N31">
        <f t="shared" si="2"/>
        <v>0.51760630048369483</v>
      </c>
      <c r="Q31" s="35">
        <f t="shared" si="7"/>
        <v>-1.0401376476487645E-2</v>
      </c>
    </row>
    <row r="32" spans="4:17" x14ac:dyDescent="0.25">
      <c r="D32" s="13">
        <v>30</v>
      </c>
      <c r="E32" s="27">
        <v>52.61232816791572</v>
      </c>
      <c r="F32" s="37">
        <f t="shared" si="5"/>
        <v>328616.43493853649</v>
      </c>
      <c r="G32" s="39">
        <f t="shared" si="8"/>
        <v>0.60533860760166858</v>
      </c>
      <c r="H32" s="40">
        <f t="shared" si="6"/>
        <v>72752.298311425737</v>
      </c>
      <c r="I32" s="40">
        <f t="shared" si="1"/>
        <v>-3499051.3587922952</v>
      </c>
      <c r="K32" s="38">
        <v>0.1</v>
      </c>
      <c r="L32" s="38">
        <f t="shared" si="3"/>
        <v>0.72752298311425734</v>
      </c>
      <c r="M32">
        <f t="shared" si="4"/>
        <v>0.51047027779661724</v>
      </c>
      <c r="N32">
        <f t="shared" si="2"/>
        <v>0.69513898383572648</v>
      </c>
      <c r="Q32" s="35">
        <f t="shared" si="7"/>
        <v>4.4010904548544616E-2</v>
      </c>
    </row>
    <row r="33" spans="4:17" x14ac:dyDescent="0.25">
      <c r="D33" s="13">
        <v>31</v>
      </c>
      <c r="E33" s="27">
        <v>51.995207310333718</v>
      </c>
      <c r="F33" s="37">
        <f t="shared" si="5"/>
        <v>283369.55158180842</v>
      </c>
      <c r="G33" s="39">
        <f t="shared" si="8"/>
        <v>0.48994699550079579</v>
      </c>
      <c r="H33" s="40">
        <f t="shared" si="6"/>
        <v>68791.429669156889</v>
      </c>
      <c r="I33" s="40">
        <f t="shared" si="1"/>
        <v>-3293455.0952402456</v>
      </c>
      <c r="K33" s="38">
        <v>9.5000000000000001E-2</v>
      </c>
      <c r="L33" s="38">
        <f t="shared" si="3"/>
        <v>0.68791429669156889</v>
      </c>
      <c r="M33">
        <f t="shared" si="4"/>
        <v>0.39748078545626114</v>
      </c>
      <c r="N33">
        <f t="shared" si="2"/>
        <v>0.65449352350084666</v>
      </c>
      <c r="Q33" s="35">
        <f t="shared" si="7"/>
        <v>-1.1798920873020258E-2</v>
      </c>
    </row>
    <row r="34" spans="4:17" x14ac:dyDescent="0.25">
      <c r="D34" s="13">
        <v>32</v>
      </c>
      <c r="E34" s="27">
        <v>51.608898025771232</v>
      </c>
      <c r="F34" s="37">
        <f t="shared" si="5"/>
        <v>256465.42162493727</v>
      </c>
      <c r="G34" s="39">
        <f t="shared" si="8"/>
        <v>0.41690105058671006</v>
      </c>
      <c r="H34" s="40">
        <f t="shared" si="6"/>
        <v>66162.460746349432</v>
      </c>
      <c r="I34" s="40">
        <f t="shared" si="1"/>
        <v>-3158106.2681675027</v>
      </c>
      <c r="K34" s="38">
        <v>0.09</v>
      </c>
      <c r="L34" s="38">
        <f t="shared" si="3"/>
        <v>0.66162460746349427</v>
      </c>
      <c r="M34">
        <f t="shared" si="4"/>
        <v>0.32690105058671004</v>
      </c>
      <c r="N34">
        <f t="shared" si="2"/>
        <v>0.62812863677335562</v>
      </c>
      <c r="Q34" s="35">
        <f t="shared" si="7"/>
        <v>-7.457447243861548E-3</v>
      </c>
    </row>
    <row r="35" spans="4:17" x14ac:dyDescent="0.25">
      <c r="D35" s="13">
        <v>33</v>
      </c>
      <c r="E35" s="27">
        <v>51.098204918146209</v>
      </c>
      <c r="F35" s="37">
        <f t="shared" si="5"/>
        <v>222360.88252039085</v>
      </c>
      <c r="G35" s="39">
        <f t="shared" si="8"/>
        <v>0.31157133920874475</v>
      </c>
      <c r="H35" s="40">
        <f t="shared" si="6"/>
        <v>62231.684066226015</v>
      </c>
      <c r="I35" s="40">
        <f t="shared" si="1"/>
        <v>-2957566.4622969604</v>
      </c>
      <c r="K35" s="38">
        <v>8.5000000000000006E-2</v>
      </c>
      <c r="L35" s="38">
        <f t="shared" si="3"/>
        <v>0.62231684066226012</v>
      </c>
      <c r="M35">
        <f t="shared" si="4"/>
        <v>0.22410706078606524</v>
      </c>
      <c r="N35">
        <f t="shared" si="2"/>
        <v>0.58866300075185229</v>
      </c>
      <c r="Q35" s="35">
        <f t="shared" si="7"/>
        <v>-9.9447321917232046E-3</v>
      </c>
    </row>
    <row r="36" spans="4:17" x14ac:dyDescent="0.25">
      <c r="D36" s="13">
        <v>34</v>
      </c>
      <c r="E36" s="27">
        <v>50.68745061805911</v>
      </c>
      <c r="F36" s="37">
        <f t="shared" si="5"/>
        <v>196503.17925397164</v>
      </c>
      <c r="G36" s="39">
        <f t="shared" si="8"/>
        <v>0.22221245675222015</v>
      </c>
      <c r="H36" s="40">
        <f t="shared" si="6"/>
        <v>58792.575128224125</v>
      </c>
      <c r="I36" s="40">
        <f t="shared" si="1"/>
        <v>-2783542.5692664189</v>
      </c>
      <c r="K36" s="38">
        <v>0.08</v>
      </c>
      <c r="L36" s="38">
        <f t="shared" si="3"/>
        <v>0.58792575128224123</v>
      </c>
      <c r="M36">
        <f t="shared" si="4"/>
        <v>0.13735964300983444</v>
      </c>
      <c r="N36">
        <f t="shared" si="2"/>
        <v>0.55462673558225051</v>
      </c>
      <c r="Q36" s="35">
        <f t="shared" si="7"/>
        <v>-8.0710101570464765E-3</v>
      </c>
    </row>
    <row r="37" spans="4:17" x14ac:dyDescent="0.25">
      <c r="D37" s="13">
        <v>35</v>
      </c>
      <c r="E37" s="27">
        <v>49.912454144425212</v>
      </c>
      <c r="F37" s="37">
        <f t="shared" si="5"/>
        <v>150660.77267863837</v>
      </c>
      <c r="G37" s="39">
        <f t="shared" si="8"/>
        <v>3.8006446861711944E-2</v>
      </c>
      <c r="H37" s="40">
        <f t="shared" si="6"/>
        <v>51515.872905437776</v>
      </c>
      <c r="I37" s="40">
        <f t="shared" si="1"/>
        <v>-2420622.8714240617</v>
      </c>
      <c r="K37" s="38">
        <v>7.4999999999999997E-2</v>
      </c>
      <c r="L37" s="38">
        <f t="shared" si="3"/>
        <v>0.51515872905437776</v>
      </c>
      <c r="M37">
        <f t="shared" si="4"/>
        <v>-4.4151936764062961E-2</v>
      </c>
      <c r="N37">
        <f t="shared" si="2"/>
        <v>0.48239164678392549</v>
      </c>
      <c r="Q37" s="35">
        <f t="shared" si="7"/>
        <v>-1.5407803962517175E-2</v>
      </c>
    </row>
    <row r="38" spans="4:17" x14ac:dyDescent="0.25">
      <c r="D38" s="13">
        <v>36</v>
      </c>
      <c r="E38" s="27">
        <v>50.155477153125524</v>
      </c>
      <c r="F38" s="37">
        <f t="shared" si="5"/>
        <v>162938.24071728045</v>
      </c>
      <c r="G38" s="39">
        <f t="shared" si="8"/>
        <v>9.64403872790143E-2</v>
      </c>
      <c r="H38" s="40">
        <f t="shared" si="6"/>
        <v>53841.459140816369</v>
      </c>
      <c r="I38" s="40">
        <f t="shared" si="1"/>
        <v>-2537505.8331108759</v>
      </c>
      <c r="K38" s="38">
        <v>7.0000000000000007E-2</v>
      </c>
      <c r="L38" s="38">
        <f t="shared" si="3"/>
        <v>0.53841459140816372</v>
      </c>
      <c r="M38">
        <f t="shared" si="4"/>
        <v>1.7067847947076581E-2</v>
      </c>
      <c r="N38">
        <f t="shared" si="2"/>
        <v>0.50680875560188765</v>
      </c>
      <c r="Q38" s="35">
        <f t="shared" si="7"/>
        <v>4.8571701909736475E-3</v>
      </c>
    </row>
    <row r="39" spans="4:17" x14ac:dyDescent="0.25">
      <c r="D39" s="13">
        <v>37</v>
      </c>
      <c r="E39" s="27">
        <v>50.717291350044995</v>
      </c>
      <c r="F39" s="37">
        <f t="shared" si="5"/>
        <v>192933.37357418743</v>
      </c>
      <c r="G39" s="39">
        <f t="shared" si="8"/>
        <v>0.24146994330687149</v>
      </c>
      <c r="H39" s="40">
        <f t="shared" si="6"/>
        <v>59540.454544917833</v>
      </c>
      <c r="I39" s="40">
        <f t="shared" si="1"/>
        <v>-2826797.206694521</v>
      </c>
      <c r="K39" s="38">
        <v>6.5000000000000002E-2</v>
      </c>
      <c r="L39" s="38">
        <f t="shared" si="3"/>
        <v>0.59540454544917831</v>
      </c>
      <c r="M39">
        <f t="shared" si="4"/>
        <v>0.16498465060297973</v>
      </c>
      <c r="N39">
        <f t="shared" si="2"/>
        <v>0.56552196823251943</v>
      </c>
      <c r="Q39" s="35">
        <f t="shared" si="7"/>
        <v>1.1139180860527453E-2</v>
      </c>
    </row>
    <row r="40" spans="4:17" x14ac:dyDescent="0.25">
      <c r="D40" s="13">
        <v>38</v>
      </c>
      <c r="E40" s="27">
        <v>50.050109110069663</v>
      </c>
      <c r="F40" s="37">
        <f t="shared" si="5"/>
        <v>152926.34588663292</v>
      </c>
      <c r="G40" s="39">
        <f t="shared" si="8"/>
        <v>6.670342080455427E-2</v>
      </c>
      <c r="H40" s="40">
        <f t="shared" si="6"/>
        <v>52659.109451424381</v>
      </c>
      <c r="I40" s="40">
        <f t="shared" si="1"/>
        <v>-2482667.827796258</v>
      </c>
      <c r="K40" s="38">
        <v>0.06</v>
      </c>
      <c r="L40" s="38">
        <f t="shared" si="3"/>
        <v>0.5265910945142438</v>
      </c>
      <c r="M40">
        <f t="shared" si="4"/>
        <v>-6.7812714789410727E-3</v>
      </c>
      <c r="N40">
        <f t="shared" si="2"/>
        <v>0.49729468482646216</v>
      </c>
      <c r="Q40" s="35">
        <f t="shared" si="7"/>
        <v>-1.3242218940939132E-2</v>
      </c>
    </row>
    <row r="41" spans="4:17" x14ac:dyDescent="0.25">
      <c r="D41" s="13">
        <v>39</v>
      </c>
      <c r="E41" s="27">
        <v>50.245970940060545</v>
      </c>
      <c r="F41" s="37">
        <f t="shared" si="5"/>
        <v>162991.97623294641</v>
      </c>
      <c r="G41" s="39">
        <f t="shared" si="8"/>
        <v>0.12056298678654123</v>
      </c>
      <c r="H41" s="40">
        <f t="shared" si="6"/>
        <v>54798.140640226957</v>
      </c>
      <c r="I41" s="40">
        <f t="shared" si="1"/>
        <v>-2590393.8059452479</v>
      </c>
      <c r="K41" s="38">
        <v>5.5E-2</v>
      </c>
      <c r="L41" s="38">
        <f t="shared" si="3"/>
        <v>0.54798140640226956</v>
      </c>
      <c r="M41">
        <f t="shared" si="4"/>
        <v>5.0206750389189786E-2</v>
      </c>
      <c r="N41">
        <f t="shared" si="2"/>
        <v>0.52002118384630203</v>
      </c>
      <c r="Q41" s="35">
        <f t="shared" si="7"/>
        <v>3.9056776470456356E-3</v>
      </c>
    </row>
    <row r="42" spans="4:17" x14ac:dyDescent="0.25">
      <c r="D42" s="13">
        <v>40</v>
      </c>
      <c r="E42" s="27">
        <v>50.446709437546751</v>
      </c>
      <c r="F42" s="37">
        <f t="shared" si="5"/>
        <v>173733.02031710799</v>
      </c>
      <c r="G42" s="39">
        <f t="shared" si="8"/>
        <v>0.18103974082326951</v>
      </c>
      <c r="H42" s="40">
        <f t="shared" si="6"/>
        <v>57183.18086456343</v>
      </c>
      <c r="I42" s="40">
        <f t="shared" si="1"/>
        <v>-2710970.289472207</v>
      </c>
      <c r="K42" s="38">
        <v>0.05</v>
      </c>
      <c r="L42" s="38">
        <f t="shared" si="3"/>
        <v>0.57183180864563432</v>
      </c>
      <c r="M42">
        <f t="shared" si="4"/>
        <v>0.11395770149827583</v>
      </c>
      <c r="N42">
        <f t="shared" si="2"/>
        <v>0.54536433787261807</v>
      </c>
      <c r="Q42" s="35">
        <f t="shared" si="7"/>
        <v>3.9871570141682966E-3</v>
      </c>
    </row>
    <row r="43" spans="4:17" x14ac:dyDescent="0.25">
      <c r="D43" s="13">
        <v>41</v>
      </c>
      <c r="E43" s="27">
        <v>53.024136529819785</v>
      </c>
      <c r="F43" s="37">
        <f t="shared" si="5"/>
        <v>320847.38931553205</v>
      </c>
      <c r="G43" s="39">
        <f t="shared" si="8"/>
        <v>0.96872388727483982</v>
      </c>
      <c r="H43" s="40">
        <f t="shared" si="6"/>
        <v>83365.851452161325</v>
      </c>
      <c r="I43" s="40">
        <f t="shared" si="1"/>
        <v>-4099554.9000085448</v>
      </c>
      <c r="K43" s="38">
        <v>4.4999999999999998E-2</v>
      </c>
      <c r="L43" s="38">
        <f t="shared" si="3"/>
        <v>0.83365851452161321</v>
      </c>
      <c r="M43">
        <f t="shared" si="4"/>
        <v>0.90508427696805049</v>
      </c>
      <c r="N43">
        <f t="shared" si="2"/>
        <v>0.81728962944663841</v>
      </c>
      <c r="Q43" s="35">
        <f t="shared" si="7"/>
        <v>4.9829695667755747E-2</v>
      </c>
    </row>
    <row r="44" spans="4:17" x14ac:dyDescent="0.25">
      <c r="D44" s="13">
        <v>42</v>
      </c>
      <c r="E44" s="27">
        <v>54.715730181533949</v>
      </c>
      <c r="F44" s="37">
        <f t="shared" si="5"/>
        <v>461458.55841329542</v>
      </c>
      <c r="G44" s="39">
        <f t="shared" si="8"/>
        <v>1.5454705755566918</v>
      </c>
      <c r="H44" s="40">
        <f t="shared" si="6"/>
        <v>93888.375959012003</v>
      </c>
      <c r="I44" s="40">
        <f t="shared" si="1"/>
        <v>-4675712.487742424</v>
      </c>
      <c r="K44" s="38">
        <v>0.04</v>
      </c>
      <c r="L44" s="38">
        <f t="shared" si="3"/>
        <v>0.93888375959012005</v>
      </c>
      <c r="M44">
        <f t="shared" si="4"/>
        <v>1.4854705755566917</v>
      </c>
      <c r="N44">
        <f t="shared" si="2"/>
        <v>0.93129039384400802</v>
      </c>
      <c r="Q44" s="35">
        <f t="shared" si="7"/>
        <v>3.1404023852352303E-2</v>
      </c>
    </row>
    <row r="45" spans="4:17" x14ac:dyDescent="0.25">
      <c r="D45" s="13">
        <v>43</v>
      </c>
      <c r="E45" s="27">
        <v>53.931588571639189</v>
      </c>
      <c r="F45" s="37">
        <f t="shared" si="5"/>
        <v>387369.18151027506</v>
      </c>
      <c r="G45" s="39">
        <f t="shared" si="8"/>
        <v>1.3891947089191055</v>
      </c>
      <c r="H45" s="40">
        <f t="shared" si="6"/>
        <v>91761.32248900058</v>
      </c>
      <c r="I45" s="40">
        <f t="shared" si="1"/>
        <v>-4561464.7097560065</v>
      </c>
      <c r="K45" s="38">
        <v>3.5000000000000003E-2</v>
      </c>
      <c r="L45" s="38">
        <f t="shared" si="3"/>
        <v>0.91761322489000585</v>
      </c>
      <c r="M45">
        <f t="shared" si="4"/>
        <v>1.3330698481174963</v>
      </c>
      <c r="N45">
        <f t="shared" si="2"/>
        <v>0.90874555845294402</v>
      </c>
      <c r="Q45" s="35">
        <f t="shared" si="7"/>
        <v>-1.4434874868984426E-2</v>
      </c>
    </row>
    <row r="46" spans="4:17" x14ac:dyDescent="0.25">
      <c r="D46" s="13">
        <v>44</v>
      </c>
      <c r="E46" s="27">
        <v>54.938752102750172</v>
      </c>
      <c r="F46" s="37">
        <f t="shared" si="5"/>
        <v>479331.66980865091</v>
      </c>
      <c r="G46" s="39">
        <f t="shared" si="8"/>
        <v>1.8503298852676695</v>
      </c>
      <c r="H46" s="40">
        <f t="shared" si="6"/>
        <v>96786.699109156267</v>
      </c>
      <c r="I46" s="40">
        <f t="shared" si="1"/>
        <v>-4838008.7993927561</v>
      </c>
      <c r="K46" s="38">
        <v>0.03</v>
      </c>
      <c r="L46" s="38">
        <f t="shared" si="3"/>
        <v>0.96786699109156271</v>
      </c>
      <c r="M46">
        <f t="shared" si="4"/>
        <v>1.7983683610406032</v>
      </c>
      <c r="N46">
        <f t="shared" si="2"/>
        <v>0.96394067343864975</v>
      </c>
      <c r="Q46" s="35">
        <f t="shared" si="7"/>
        <v>1.8502601496984017E-2</v>
      </c>
    </row>
    <row r="47" spans="4:17" x14ac:dyDescent="0.25">
      <c r="D47" s="13">
        <v>45</v>
      </c>
      <c r="E47" s="27">
        <v>55.799154555160648</v>
      </c>
      <c r="F47" s="37">
        <f t="shared" si="5"/>
        <v>562123.35801209405</v>
      </c>
      <c r="G47" s="39">
        <f t="shared" si="8"/>
        <v>2.3476899557938644</v>
      </c>
      <c r="H47" s="40">
        <f t="shared" si="6"/>
        <v>99055.488090565341</v>
      </c>
      <c r="I47" s="40">
        <f t="shared" si="1"/>
        <v>-4965089.1314902361</v>
      </c>
      <c r="K47" s="38">
        <v>2.5000000000000001E-2</v>
      </c>
      <c r="L47" s="38">
        <f t="shared" si="3"/>
        <v>0.99055488090565347</v>
      </c>
      <c r="M47">
        <f t="shared" si="4"/>
        <v>2.3002557908913386</v>
      </c>
      <c r="N47">
        <f t="shared" si="2"/>
        <v>0.98928313364547549</v>
      </c>
      <c r="P47" s="19"/>
      <c r="Q47" s="35">
        <f t="shared" si="7"/>
        <v>1.5539751341728802E-2</v>
      </c>
    </row>
    <row r="48" spans="4:17" x14ac:dyDescent="0.25">
      <c r="D48" s="13">
        <v>46</v>
      </c>
      <c r="E48" s="27">
        <v>55.516533913614907</v>
      </c>
      <c r="F48" s="37">
        <f t="shared" si="5"/>
        <v>533631.69867988955</v>
      </c>
      <c r="G48" s="39">
        <f t="shared" si="8"/>
        <v>2.4974511660502308</v>
      </c>
      <c r="H48" s="40">
        <f t="shared" si="6"/>
        <v>99374.551535068007</v>
      </c>
      <c r="I48" s="40">
        <f t="shared" si="1"/>
        <v>-4983298.9617669862</v>
      </c>
      <c r="K48" s="38">
        <v>0.02</v>
      </c>
      <c r="L48" s="38">
        <f t="shared" si="3"/>
        <v>0.99374551535068001</v>
      </c>
      <c r="M48">
        <f t="shared" si="4"/>
        <v>2.4550247591790377</v>
      </c>
      <c r="N48">
        <f t="shared" si="2"/>
        <v>0.99295625573716795</v>
      </c>
      <c r="Q48" s="35">
        <f t="shared" si="7"/>
        <v>-5.0778331913470254E-3</v>
      </c>
    </row>
    <row r="49" spans="4:17" x14ac:dyDescent="0.25">
      <c r="D49" s="13">
        <v>47</v>
      </c>
      <c r="E49" s="27">
        <v>55.901504136887262</v>
      </c>
      <c r="F49" s="37">
        <f t="shared" si="5"/>
        <v>571389.58715843246</v>
      </c>
      <c r="G49" s="39">
        <f t="shared" si="8"/>
        <v>3.0630401655176902</v>
      </c>
      <c r="H49" s="40">
        <f t="shared" si="6"/>
        <v>99890.449675163472</v>
      </c>
      <c r="I49" s="40">
        <f t="shared" si="1"/>
        <v>-5012636.7985932473</v>
      </c>
      <c r="K49" s="38">
        <v>1.4999999999999999E-2</v>
      </c>
      <c r="L49" s="38">
        <f t="shared" si="3"/>
        <v>0.99890449675163473</v>
      </c>
      <c r="M49">
        <f t="shared" si="4"/>
        <v>3.0262978193759427</v>
      </c>
      <c r="N49">
        <f t="shared" si="2"/>
        <v>0.99876215837511273</v>
      </c>
      <c r="Q49" s="35">
        <f t="shared" si="7"/>
        <v>6.9104026957447218E-3</v>
      </c>
    </row>
    <row r="50" spans="4:17" x14ac:dyDescent="0.25">
      <c r="D50" s="13">
        <v>48</v>
      </c>
      <c r="E50" s="27">
        <v>55.875774110176827</v>
      </c>
      <c r="F50" s="37">
        <f t="shared" si="5"/>
        <v>568318.11447629426</v>
      </c>
      <c r="G50" s="39">
        <f t="shared" si="8"/>
        <v>3.7252633910151545</v>
      </c>
      <c r="H50" s="40">
        <f t="shared" si="6"/>
        <v>99990.244430546067</v>
      </c>
      <c r="I50" s="40">
        <f t="shared" si="1"/>
        <v>-5018714.196546264</v>
      </c>
      <c r="K50" s="38">
        <v>0.01</v>
      </c>
      <c r="L50" s="38">
        <f t="shared" si="3"/>
        <v>0.99990244430546071</v>
      </c>
      <c r="M50">
        <f t="shared" si="4"/>
        <v>3.6952633910151547</v>
      </c>
      <c r="N50">
        <f t="shared" si="2"/>
        <v>0.99989017052188689</v>
      </c>
      <c r="Q50" s="35">
        <f t="shared" si="7"/>
        <v>-4.6038027707240303E-4</v>
      </c>
    </row>
    <row r="51" spans="4:17" x14ac:dyDescent="0.25">
      <c r="D51" s="13">
        <v>49</v>
      </c>
      <c r="E51" s="27">
        <v>55.864382783416914</v>
      </c>
      <c r="F51" s="37">
        <f t="shared" si="5"/>
        <v>566677.19641512004</v>
      </c>
      <c r="G51" s="39">
        <f t="shared" si="8"/>
        <v>5.2433859171095589</v>
      </c>
      <c r="H51" s="40">
        <f t="shared" si="6"/>
        <v>99999.992117184811</v>
      </c>
      <c r="I51" s="40">
        <f t="shared" si="1"/>
        <v>-5019760.6415579664</v>
      </c>
      <c r="K51" s="38">
        <v>5.0000000000000001E-3</v>
      </c>
      <c r="L51" s="38">
        <f t="shared" si="3"/>
        <v>0.99999992117184811</v>
      </c>
      <c r="M51">
        <f t="shared" si="4"/>
        <v>5.2221727136739622</v>
      </c>
      <c r="N51">
        <f t="shared" si="2"/>
        <v>0.99999991158204138</v>
      </c>
      <c r="Q51" s="35">
        <f t="shared" si="7"/>
        <v>-2.0388957946781971E-4</v>
      </c>
    </row>
    <row r="52" spans="4:17" x14ac:dyDescent="0.25">
      <c r="D52" s="13">
        <v>50</v>
      </c>
      <c r="E52" s="27">
        <v>54.555657698671851</v>
      </c>
      <c r="F52" s="37">
        <f>F51+H51*(E52-E51)+I51*(EXP(0.02*1/200)-1)</f>
        <v>435302.69709325582</v>
      </c>
      <c r="G52" s="17"/>
      <c r="H52" s="23"/>
      <c r="K52">
        <v>0</v>
      </c>
      <c r="Q52" s="35">
        <f t="shared" si="7"/>
        <v>-2.3705594845503608E-2</v>
      </c>
    </row>
    <row r="53" spans="4:17" x14ac:dyDescent="0.25">
      <c r="D53" s="13"/>
    </row>
  </sheetData>
  <mergeCells count="1">
    <mergeCell ref="A1:B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FB6D-37FF-4FB3-8628-C17A97AEC4AC}">
  <dimension ref="A1:S53"/>
  <sheetViews>
    <sheetView showGridLines="0" zoomScale="90" zoomScaleNormal="90" workbookViewId="0">
      <pane ySplit="11" topLeftCell="A47" activePane="bottomLeft" state="frozen"/>
      <selection pane="bottomLeft" activeCell="E2" sqref="E2:E52"/>
    </sheetView>
  </sheetViews>
  <sheetFormatPr defaultRowHeight="15" x14ac:dyDescent="0.25"/>
  <cols>
    <col min="1" max="1" width="20.85546875" bestFit="1" customWidth="1"/>
    <col min="2" max="2" width="14.42578125" customWidth="1"/>
    <col min="5" max="5" width="10.5703125" bestFit="1" customWidth="1"/>
    <col min="6" max="6" width="14.5703125" bestFit="1" customWidth="1"/>
    <col min="7" max="7" width="27" customWidth="1"/>
    <col min="8" max="8" width="12.5703125" bestFit="1" customWidth="1"/>
    <col min="9" max="9" width="22.28515625" bestFit="1" customWidth="1"/>
    <col min="10" max="10" width="12" bestFit="1" customWidth="1"/>
    <col min="11" max="11" width="16.85546875" customWidth="1"/>
    <col min="12" max="12" width="12.42578125" customWidth="1"/>
    <col min="16" max="16" width="10.85546875" customWidth="1"/>
    <col min="18" max="18" width="18.42578125" bestFit="1" customWidth="1"/>
    <col min="19" max="19" width="18" bestFit="1" customWidth="1"/>
  </cols>
  <sheetData>
    <row r="1" spans="1:19" ht="15.75" thickBot="1" x14ac:dyDescent="0.3">
      <c r="A1" s="56" t="s">
        <v>5</v>
      </c>
      <c r="B1" s="57"/>
      <c r="D1" s="14" t="s">
        <v>10</v>
      </c>
      <c r="E1" s="15" t="s">
        <v>7</v>
      </c>
      <c r="F1" s="15" t="s">
        <v>12</v>
      </c>
      <c r="G1" s="15" t="s">
        <v>11</v>
      </c>
      <c r="H1" s="15" t="s">
        <v>8</v>
      </c>
      <c r="I1" s="16" t="s">
        <v>9</v>
      </c>
      <c r="K1" s="28" t="s">
        <v>28</v>
      </c>
      <c r="L1" s="28" t="s">
        <v>27</v>
      </c>
      <c r="M1" s="28" t="s">
        <v>29</v>
      </c>
      <c r="N1" s="28" t="s">
        <v>30</v>
      </c>
      <c r="O1" s="28" t="s">
        <v>26</v>
      </c>
      <c r="R1" s="14" t="s">
        <v>19</v>
      </c>
      <c r="S1" s="24" t="s">
        <v>18</v>
      </c>
    </row>
    <row r="2" spans="1:19" ht="15.75" thickBot="1" x14ac:dyDescent="0.3">
      <c r="A2" s="1" t="s">
        <v>0</v>
      </c>
      <c r="B2" s="2">
        <v>50</v>
      </c>
      <c r="D2" s="13">
        <v>0</v>
      </c>
      <c r="E2" s="27">
        <v>50</v>
      </c>
      <c r="F2" s="37">
        <f>O2*100000</f>
        <v>310815.12162064441</v>
      </c>
      <c r="G2" s="39">
        <f>((0.02+(0.3^2)/2)*0.25)/(0.3*SQRT(0.25))</f>
        <v>0.10833333333333334</v>
      </c>
      <c r="H2" s="40">
        <f>L2*100000</f>
        <v>54313.435898599892</v>
      </c>
      <c r="I2" s="40">
        <f>F2-(H2*E2)</f>
        <v>-2404856.6733093504</v>
      </c>
      <c r="K2" s="38">
        <v>0.25</v>
      </c>
      <c r="L2" s="38">
        <f>_xlfn.NORM.DIST(G2,0,1,TRUE)</f>
        <v>0.54313435898599893</v>
      </c>
      <c r="M2">
        <f>G2-(0.3*SQRT(K2))</f>
        <v>-4.1666666666666657E-2</v>
      </c>
      <c r="N2">
        <f>_xlfn.NORM.DIST(M2,0,1,TRUE)</f>
        <v>0.48338221350963662</v>
      </c>
      <c r="O2" s="38">
        <f>(E2*L2)-50*EXP(-0.02*K2)*N2</f>
        <v>3.1081512162064442</v>
      </c>
      <c r="Q2" s="14" t="s">
        <v>17</v>
      </c>
      <c r="R2" s="25">
        <v>0.33794342711050412</v>
      </c>
      <c r="S2" s="26">
        <v>0.24901388231924659</v>
      </c>
    </row>
    <row r="3" spans="1:19" x14ac:dyDescent="0.25">
      <c r="A3" s="3" t="s">
        <v>1</v>
      </c>
      <c r="B3" s="4">
        <v>0.25</v>
      </c>
      <c r="D3" s="13">
        <v>1</v>
      </c>
      <c r="E3" s="27">
        <v>48.669909554736016</v>
      </c>
      <c r="F3" s="37">
        <f>F2+H2*(E3-E2)+I2*(EXP(0.02*1/200)-1)</f>
        <v>238332.84179044361</v>
      </c>
      <c r="G3" s="39">
        <f t="shared" ref="G3:G8" si="0">((LN(E3/50)+((0.02+(0.3^2)/2)*K3))/(0.3*SQRT(K3)))</f>
        <v>-7.4327293073886511E-2</v>
      </c>
      <c r="H3" s="40">
        <f>L3*100000</f>
        <v>47037.49801795707</v>
      </c>
      <c r="I3" s="40">
        <f t="shared" ref="I3:I51" si="1">F3-(H3*E3)</f>
        <v>-2050977.9324246019</v>
      </c>
      <c r="J3" s="36"/>
      <c r="K3" s="38">
        <v>0.245</v>
      </c>
      <c r="L3" s="38">
        <f>_xlfn.NORM.DIST(G3,0,1,TRUE)</f>
        <v>0.47037498017957069</v>
      </c>
      <c r="M3">
        <f>G3-(0.3*SQRT(K3))</f>
        <v>-0.22281971712306148</v>
      </c>
      <c r="N3">
        <f t="shared" ref="N3:N51" si="2">_xlfn.NORM.DIST(M3,0,1,TRUE)</f>
        <v>0.41183791085718968</v>
      </c>
      <c r="O3" s="38"/>
      <c r="P3" s="34">
        <f>LN(E3)-LN(E2)</f>
        <v>-2.6962039921554659E-2</v>
      </c>
      <c r="Q3" s="35">
        <f>LN(E3)-LN(E2)</f>
        <v>-2.6962039921554659E-2</v>
      </c>
      <c r="R3" s="30">
        <f>(AVERAGE(Q3:Q52))*200</f>
        <v>0.98974645141508866</v>
      </c>
      <c r="S3" s="31">
        <f>(STDEVA(Q3:Q52))*(SQRT(50*4))</f>
        <v>0.51568914885639405</v>
      </c>
    </row>
    <row r="4" spans="1:19" x14ac:dyDescent="0.25">
      <c r="A4" s="3" t="s">
        <v>2</v>
      </c>
      <c r="B4" s="5">
        <v>0.3</v>
      </c>
      <c r="D4" s="13">
        <v>2</v>
      </c>
      <c r="E4" s="27">
        <v>46.169336956490696</v>
      </c>
      <c r="F4" s="37">
        <f>F3+H3*(E4-E3)+I3*(EXP(0.02*1/200)-1)</f>
        <v>120507.05510824756</v>
      </c>
      <c r="G4" s="39">
        <f t="shared" si="0"/>
        <v>-0.43619376999927051</v>
      </c>
      <c r="H4" s="40">
        <f>L4*100000</f>
        <v>33134.807383199761</v>
      </c>
      <c r="I4" s="40">
        <f t="shared" si="1"/>
        <v>-1409305.0319551178</v>
      </c>
      <c r="J4" s="36"/>
      <c r="K4" s="38">
        <v>0.24</v>
      </c>
      <c r="L4" s="38">
        <f>_xlfn.NORM.DIST(G4,0,1,TRUE)</f>
        <v>0.3313480738319976</v>
      </c>
      <c r="M4">
        <f>G4-(0.3*SQRT(K4))</f>
        <v>-0.58316315456626122</v>
      </c>
      <c r="N4">
        <f t="shared" si="2"/>
        <v>0.27989173616191443</v>
      </c>
      <c r="P4" s="33"/>
      <c r="Q4" s="35">
        <f>LN(E4)-LN(E3)</f>
        <v>-5.2745090007193518E-2</v>
      </c>
    </row>
    <row r="5" spans="1:19" x14ac:dyDescent="0.25">
      <c r="A5" s="3" t="s">
        <v>3</v>
      </c>
      <c r="B5" s="6">
        <v>0.02</v>
      </c>
      <c r="D5" s="13">
        <v>3</v>
      </c>
      <c r="E5" s="27">
        <v>47.481015369525075</v>
      </c>
      <c r="F5" s="37">
        <f>F4+H4*(E5-E4)+I4*(EXP(0.02*1/200)-1)</f>
        <v>163828.32912288723</v>
      </c>
      <c r="G5" s="39">
        <f t="shared" si="0"/>
        <v>-0.25041567500103079</v>
      </c>
      <c r="H5" s="40">
        <f>L5*100000</f>
        <v>40113.295440290509</v>
      </c>
      <c r="I5" s="40">
        <f>F5-(H5*E5)</f>
        <v>-1740791.6681998465</v>
      </c>
      <c r="K5" s="38">
        <v>0.23499999999999999</v>
      </c>
      <c r="L5" s="38">
        <f t="shared" ref="L5:L51" si="3">_xlfn.NORM.DIST(G5,0,1,TRUE)</f>
        <v>0.40113295440290508</v>
      </c>
      <c r="M5">
        <f t="shared" ref="M5:M51" si="4">G5-(0.3*SQRT(K5))</f>
        <v>-0.39584607072352063</v>
      </c>
      <c r="N5">
        <f t="shared" si="2"/>
        <v>0.34610929371617827</v>
      </c>
      <c r="Q5" s="35">
        <f>LN(E5)-LN(E4)</f>
        <v>2.8014079218233956E-2</v>
      </c>
    </row>
    <row r="6" spans="1:19" x14ac:dyDescent="0.25">
      <c r="A6" s="7" t="s">
        <v>4</v>
      </c>
      <c r="B6" s="8">
        <v>50</v>
      </c>
      <c r="D6" s="13">
        <v>4</v>
      </c>
      <c r="E6" s="27">
        <v>49.034295182217534</v>
      </c>
      <c r="F6" s="37">
        <f>F5+H5*(E6-E5)+I5*(EXP(0.02*1/200)-1)</f>
        <v>225961.4132797904</v>
      </c>
      <c r="G6" s="39">
        <f t="shared" si="0"/>
        <v>-3.164588827076302E-2</v>
      </c>
      <c r="H6" s="40">
        <f>L6*100000</f>
        <v>48737.722407534093</v>
      </c>
      <c r="I6" s="40">
        <f t="shared" si="1"/>
        <v>-2163858.4537602141</v>
      </c>
      <c r="K6" s="38">
        <v>0.23</v>
      </c>
      <c r="L6" s="38">
        <f t="shared" si="3"/>
        <v>0.48737722407534095</v>
      </c>
      <c r="M6">
        <f t="shared" si="4"/>
        <v>-0.17552083397014462</v>
      </c>
      <c r="N6">
        <f t="shared" si="2"/>
        <v>0.43033520087156391</v>
      </c>
      <c r="Q6" s="35">
        <f>LN(E6)-LN(E5)</f>
        <v>3.2190000253949691E-2</v>
      </c>
    </row>
    <row r="7" spans="1:19" ht="15.75" thickBot="1" x14ac:dyDescent="0.3">
      <c r="A7" s="3" t="s">
        <v>13</v>
      </c>
      <c r="B7" s="21">
        <v>100000</v>
      </c>
      <c r="D7" s="13">
        <v>5</v>
      </c>
      <c r="E7" s="27">
        <v>48.263273888045177</v>
      </c>
      <c r="F7" s="37">
        <f t="shared" ref="F7:F51" si="5">F6+H6*(E7-E6)+I6*(EXP(0.02*1/200)-1)</f>
        <v>188167.19480909136</v>
      </c>
      <c r="G7" s="39">
        <f t="shared" si="0"/>
        <v>-0.14565527493113931</v>
      </c>
      <c r="H7" s="40">
        <f t="shared" ref="H7:H51" si="6">L7*100000</f>
        <v>44209.676507770077</v>
      </c>
      <c r="I7" s="40">
        <f t="shared" si="1"/>
        <v>-1945536.5309872925</v>
      </c>
      <c r="K7" s="38">
        <v>0.22500000000000001</v>
      </c>
      <c r="L7" s="38">
        <f t="shared" si="3"/>
        <v>0.44209676507770074</v>
      </c>
      <c r="M7">
        <f t="shared" si="4"/>
        <v>-0.28795776963871633</v>
      </c>
      <c r="N7">
        <f t="shared" si="2"/>
        <v>0.38668953249991261</v>
      </c>
      <c r="Q7" s="35">
        <f>LN(E7)-LN(E6)</f>
        <v>-1.5849058533454308E-2</v>
      </c>
    </row>
    <row r="8" spans="1:19" ht="15.75" thickBot="1" x14ac:dyDescent="0.3">
      <c r="A8" s="22" t="s">
        <v>16</v>
      </c>
      <c r="B8" s="11">
        <v>50</v>
      </c>
      <c r="D8" s="13">
        <v>6</v>
      </c>
      <c r="E8" s="27">
        <v>47.894760899666252</v>
      </c>
      <c r="F8" s="37">
        <f t="shared" si="5"/>
        <v>171680.79142284175</v>
      </c>
      <c r="G8" s="39">
        <f t="shared" si="0"/>
        <v>-0.20408199936185112</v>
      </c>
      <c r="H8" s="40">
        <f t="shared" si="6"/>
        <v>41914.471037000985</v>
      </c>
      <c r="I8" s="40">
        <f t="shared" si="1"/>
        <v>-1835802.7771303065</v>
      </c>
      <c r="K8" s="38">
        <v>0.22</v>
      </c>
      <c r="L8" s="38">
        <f t="shared" si="3"/>
        <v>0.41914471037000989</v>
      </c>
      <c r="M8">
        <f t="shared" si="4"/>
        <v>-0.34479447215655401</v>
      </c>
      <c r="N8">
        <f t="shared" si="2"/>
        <v>0.36512444456015847</v>
      </c>
      <c r="Q8" s="35">
        <f t="shared" ref="Q8:Q52" si="7">LN(E8)-LN(E7)</f>
        <v>-7.6647737930741755E-3</v>
      </c>
    </row>
    <row r="9" spans="1:19" x14ac:dyDescent="0.25">
      <c r="A9" s="10" t="s">
        <v>6</v>
      </c>
      <c r="B9" s="12">
        <v>0.10833333333333334</v>
      </c>
      <c r="D9" s="13">
        <v>7</v>
      </c>
      <c r="E9" s="27">
        <v>52.309946629148811</v>
      </c>
      <c r="F9" s="37">
        <f t="shared" si="5"/>
        <v>356557.37634718558</v>
      </c>
      <c r="G9" s="39">
        <f t="shared" ref="G9:G51" si="8">((LN(E9/50)+((0.02+(0.3^2)/2)*K9))/(0.3*SQRT(K9)))</f>
        <v>0.42513812490412739</v>
      </c>
      <c r="H9" s="40">
        <f t="shared" si="6"/>
        <v>66463.200655653796</v>
      </c>
      <c r="I9" s="40">
        <f t="shared" si="1"/>
        <v>-3120129.1027524727</v>
      </c>
      <c r="K9" s="38">
        <v>0.215</v>
      </c>
      <c r="L9" s="38">
        <f t="shared" si="3"/>
        <v>0.66463200655653798</v>
      </c>
      <c r="M9">
        <f t="shared" si="4"/>
        <v>0.2860338474716918</v>
      </c>
      <c r="N9">
        <f t="shared" si="2"/>
        <v>0.61257390123495159</v>
      </c>
      <c r="Q9" s="35">
        <f t="shared" si="7"/>
        <v>8.8180414456862533E-2</v>
      </c>
    </row>
    <row r="10" spans="1:19" ht="15.75" thickBot="1" x14ac:dyDescent="0.3">
      <c r="A10" s="9" t="s">
        <v>14</v>
      </c>
      <c r="B10" s="41">
        <f>O2*100000</f>
        <v>310815.12162064441</v>
      </c>
      <c r="D10" s="13">
        <v>8</v>
      </c>
      <c r="E10" s="27">
        <v>53.255408425171183</v>
      </c>
      <c r="F10" s="37">
        <f t="shared" si="5"/>
        <v>419083.76489703439</v>
      </c>
      <c r="G10" s="39">
        <f t="shared" si="8"/>
        <v>0.55810215172353439</v>
      </c>
      <c r="H10" s="40">
        <f t="shared" si="6"/>
        <v>71161.268430707889</v>
      </c>
      <c r="I10" s="40">
        <f t="shared" si="1"/>
        <v>-3370638.6494335546</v>
      </c>
      <c r="K10" s="38">
        <v>0.21</v>
      </c>
      <c r="L10" s="38">
        <f t="shared" si="3"/>
        <v>0.71161268430707891</v>
      </c>
      <c r="M10">
        <f t="shared" si="4"/>
        <v>0.42062488087485916</v>
      </c>
      <c r="N10">
        <f t="shared" si="2"/>
        <v>0.66298548884640818</v>
      </c>
      <c r="Q10" s="35">
        <f t="shared" si="7"/>
        <v>1.7912828999955277E-2</v>
      </c>
    </row>
    <row r="11" spans="1:19" ht="15.75" thickBot="1" x14ac:dyDescent="0.3">
      <c r="A11" s="20" t="s">
        <v>15</v>
      </c>
      <c r="B11" s="32">
        <f>F52-(MAX(E52-B6,0)*B7)</f>
        <v>-122866.99316143477</v>
      </c>
      <c r="D11" s="13">
        <v>9</v>
      </c>
      <c r="E11" s="27">
        <v>53.182812422691619</v>
      </c>
      <c r="F11" s="37">
        <f t="shared" si="5"/>
        <v>413580.66055889125</v>
      </c>
      <c r="G11" s="39">
        <f t="shared" si="8"/>
        <v>0.55243197142510569</v>
      </c>
      <c r="H11" s="40">
        <f t="shared" si="6"/>
        <v>70967.378450229386</v>
      </c>
      <c r="I11" s="40">
        <f t="shared" si="1"/>
        <v>-3360664.1156898253</v>
      </c>
      <c r="K11" s="38">
        <v>0.20499999999999999</v>
      </c>
      <c r="L11" s="38">
        <f t="shared" si="3"/>
        <v>0.7096737845022939</v>
      </c>
      <c r="M11">
        <f t="shared" si="4"/>
        <v>0.41660119435304444</v>
      </c>
      <c r="N11">
        <f t="shared" si="2"/>
        <v>0.66151493219958457</v>
      </c>
      <c r="Q11" s="35">
        <f t="shared" si="7"/>
        <v>-1.3640967156018924E-3</v>
      </c>
    </row>
    <row r="12" spans="1:19" x14ac:dyDescent="0.25">
      <c r="D12" s="13">
        <v>10</v>
      </c>
      <c r="E12" s="27">
        <v>55.004762995807113</v>
      </c>
      <c r="F12" s="37">
        <f t="shared" si="5"/>
        <v>542543.63318334101</v>
      </c>
      <c r="G12" s="39">
        <f t="shared" si="8"/>
        <v>0.80794186543272462</v>
      </c>
      <c r="H12" s="40">
        <f t="shared" si="6"/>
        <v>79043.797541716238</v>
      </c>
      <c r="I12" s="40">
        <f t="shared" si="1"/>
        <v>-3805241.7168873218</v>
      </c>
      <c r="K12" s="38">
        <v>0.2</v>
      </c>
      <c r="L12" s="38">
        <f t="shared" si="3"/>
        <v>0.79043797541716232</v>
      </c>
      <c r="M12">
        <f t="shared" si="4"/>
        <v>0.67377778678273725</v>
      </c>
      <c r="N12">
        <f t="shared" si="2"/>
        <v>0.74977370039419966</v>
      </c>
      <c r="Q12" s="35">
        <f t="shared" si="7"/>
        <v>3.3684512020410562E-2</v>
      </c>
    </row>
    <row r="13" spans="1:19" x14ac:dyDescent="0.25">
      <c r="D13" s="13">
        <v>11</v>
      </c>
      <c r="E13" s="27">
        <v>54.179705611660175</v>
      </c>
      <c r="F13" s="37">
        <f t="shared" si="5"/>
        <v>476947.42115200078</v>
      </c>
      <c r="G13" s="39">
        <f t="shared" si="8"/>
        <v>0.70169772556743537</v>
      </c>
      <c r="H13" s="40">
        <f t="shared" si="6"/>
        <v>75856.615413316948</v>
      </c>
      <c r="I13" s="40">
        <f t="shared" si="1"/>
        <v>-3632941.6706384351</v>
      </c>
      <c r="K13" s="38">
        <v>0.19500000000000001</v>
      </c>
      <c r="L13" s="38">
        <f t="shared" si="3"/>
        <v>0.75856615413316941</v>
      </c>
      <c r="M13">
        <f t="shared" si="4"/>
        <v>0.56922131257251762</v>
      </c>
      <c r="N13">
        <f t="shared" si="2"/>
        <v>0.71539702052826937</v>
      </c>
      <c r="Q13" s="35">
        <f t="shared" si="7"/>
        <v>-1.5113378288667434E-2</v>
      </c>
    </row>
    <row r="14" spans="1:19" x14ac:dyDescent="0.25">
      <c r="D14" s="13">
        <v>12</v>
      </c>
      <c r="E14" s="27">
        <v>52.222247206179141</v>
      </c>
      <c r="F14" s="37">
        <f t="shared" si="5"/>
        <v>328097.93936748349</v>
      </c>
      <c r="G14" s="39">
        <f t="shared" si="8"/>
        <v>0.42698543125255545</v>
      </c>
      <c r="H14" s="40">
        <f t="shared" si="6"/>
        <v>66530.503046902973</v>
      </c>
      <c r="I14" s="40">
        <f t="shared" si="1"/>
        <v>-3146274.4374993383</v>
      </c>
      <c r="K14" s="38">
        <v>0.19</v>
      </c>
      <c r="L14" s="38">
        <f t="shared" si="3"/>
        <v>0.66530503046902978</v>
      </c>
      <c r="M14">
        <f t="shared" si="4"/>
        <v>0.29621846294633525</v>
      </c>
      <c r="N14">
        <f t="shared" si="2"/>
        <v>0.61646837508561869</v>
      </c>
      <c r="Q14" s="35">
        <f t="shared" si="7"/>
        <v>-3.6797807334045363E-2</v>
      </c>
    </row>
    <row r="15" spans="1:19" x14ac:dyDescent="0.25">
      <c r="D15" s="13">
        <v>13</v>
      </c>
      <c r="E15" s="27">
        <v>54.679047427123194</v>
      </c>
      <c r="F15" s="37">
        <f t="shared" si="5"/>
        <v>491235.45077698707</v>
      </c>
      <c r="G15" s="39">
        <f t="shared" si="8"/>
        <v>0.78647406184504409</v>
      </c>
      <c r="H15" s="40">
        <f t="shared" si="6"/>
        <v>78420.509542107742</v>
      </c>
      <c r="I15" s="40">
        <f t="shared" si="1"/>
        <v>-3796723.3097350891</v>
      </c>
      <c r="K15" s="38">
        <v>0.185</v>
      </c>
      <c r="L15" s="38">
        <f t="shared" si="3"/>
        <v>0.78420509542107741</v>
      </c>
      <c r="M15">
        <f t="shared" si="4"/>
        <v>0.65743918283940472</v>
      </c>
      <c r="N15">
        <f t="shared" si="2"/>
        <v>0.74455071793021332</v>
      </c>
      <c r="Q15" s="35">
        <f t="shared" si="7"/>
        <v>4.5971995055428483E-2</v>
      </c>
    </row>
    <row r="16" spans="1:19" x14ac:dyDescent="0.25">
      <c r="D16" s="13">
        <v>14</v>
      </c>
      <c r="E16" s="27">
        <v>54.70252699636859</v>
      </c>
      <c r="F16" s="37">
        <f t="shared" si="5"/>
        <v>492697.03924581723</v>
      </c>
      <c r="G16" s="39">
        <f t="shared" si="8"/>
        <v>0.79814206763050666</v>
      </c>
      <c r="H16" s="40">
        <f t="shared" si="6"/>
        <v>78760.59742193266</v>
      </c>
      <c r="I16" s="40">
        <f t="shared" si="1"/>
        <v>-3815706.6674775728</v>
      </c>
      <c r="K16" s="38">
        <v>0.18</v>
      </c>
      <c r="L16" s="38">
        <f t="shared" si="3"/>
        <v>0.78760597421932654</v>
      </c>
      <c r="M16">
        <f t="shared" si="4"/>
        <v>0.67086284701692811</v>
      </c>
      <c r="N16">
        <f t="shared" si="2"/>
        <v>0.74884604677904942</v>
      </c>
      <c r="Q16" s="35">
        <f t="shared" si="7"/>
        <v>4.2931489567177294E-4</v>
      </c>
    </row>
    <row r="17" spans="4:17" x14ac:dyDescent="0.25">
      <c r="D17" s="13">
        <v>15</v>
      </c>
      <c r="E17" s="27">
        <v>56.244611679083491</v>
      </c>
      <c r="F17" s="37">
        <f t="shared" si="5"/>
        <v>613770.96038573701</v>
      </c>
      <c r="G17" s="39">
        <f t="shared" si="8"/>
        <v>1.0283925338292363</v>
      </c>
      <c r="H17" s="40">
        <f t="shared" si="6"/>
        <v>84811.739042527319</v>
      </c>
      <c r="I17" s="40">
        <f t="shared" si="1"/>
        <v>-4156432.3678889759</v>
      </c>
      <c r="K17" s="38">
        <v>0.17499999999999999</v>
      </c>
      <c r="L17" s="38">
        <f t="shared" si="3"/>
        <v>0.84811739042527323</v>
      </c>
      <c r="M17">
        <f t="shared" si="4"/>
        <v>0.90289352984912497</v>
      </c>
      <c r="N17">
        <f t="shared" si="2"/>
        <v>0.81670879755240144</v>
      </c>
      <c r="Q17" s="35">
        <f t="shared" si="7"/>
        <v>2.7800338389231349E-2</v>
      </c>
    </row>
    <row r="18" spans="4:17" x14ac:dyDescent="0.25">
      <c r="D18" s="13">
        <v>16</v>
      </c>
      <c r="E18" s="27">
        <v>56.797634898174024</v>
      </c>
      <c r="F18" s="37">
        <f t="shared" si="5"/>
        <v>660258.15730805811</v>
      </c>
      <c r="G18" s="39">
        <f t="shared" si="8"/>
        <v>1.119881410545736</v>
      </c>
      <c r="H18" s="40">
        <f t="shared" si="6"/>
        <v>86861.784952538364</v>
      </c>
      <c r="I18" s="40">
        <f t="shared" si="1"/>
        <v>-4273285.7910299227</v>
      </c>
      <c r="K18" s="38">
        <v>0.17</v>
      </c>
      <c r="L18" s="38">
        <f t="shared" si="3"/>
        <v>0.86861784952538368</v>
      </c>
      <c r="M18">
        <f t="shared" si="4"/>
        <v>0.99618824177720611</v>
      </c>
      <c r="N18">
        <f t="shared" si="2"/>
        <v>0.84042065431703017</v>
      </c>
      <c r="Q18" s="35">
        <f t="shared" si="7"/>
        <v>9.7844416192209849E-3</v>
      </c>
    </row>
    <row r="19" spans="4:17" x14ac:dyDescent="0.25">
      <c r="D19" s="13">
        <v>17</v>
      </c>
      <c r="E19" s="27">
        <v>55.975341768358703</v>
      </c>
      <c r="F19" s="37">
        <f t="shared" si="5"/>
        <v>588404.95835184562</v>
      </c>
      <c r="G19" s="39">
        <f t="shared" si="8"/>
        <v>1.014382721280356</v>
      </c>
      <c r="H19" s="40">
        <f t="shared" si="6"/>
        <v>84479.991706243789</v>
      </c>
      <c r="I19" s="40">
        <f t="shared" si="1"/>
        <v>-4140391.4499932593</v>
      </c>
      <c r="K19" s="38">
        <v>0.16500000000000001</v>
      </c>
      <c r="L19" s="38">
        <f t="shared" si="3"/>
        <v>0.84479991706243796</v>
      </c>
      <c r="M19">
        <f t="shared" si="4"/>
        <v>0.89252214521081663</v>
      </c>
      <c r="N19">
        <f t="shared" si="2"/>
        <v>0.81394343581754258</v>
      </c>
      <c r="Q19" s="35">
        <f t="shared" si="7"/>
        <v>-1.4583417545162014E-2</v>
      </c>
    </row>
    <row r="20" spans="4:17" x14ac:dyDescent="0.25">
      <c r="D20" s="13">
        <v>18</v>
      </c>
      <c r="E20" s="27">
        <v>59.58011840480998</v>
      </c>
      <c r="F20" s="37">
        <f t="shared" si="5"/>
        <v>892522.39885446406</v>
      </c>
      <c r="G20" s="39">
        <f t="shared" si="8"/>
        <v>1.5474910764982373</v>
      </c>
      <c r="H20" s="40">
        <f t="shared" si="6"/>
        <v>93912.756270208614</v>
      </c>
      <c r="I20" s="40">
        <f t="shared" si="1"/>
        <v>-4702810.739446626</v>
      </c>
      <c r="K20" s="38">
        <v>0.16</v>
      </c>
      <c r="L20" s="38">
        <f t="shared" si="3"/>
        <v>0.93912756270208608</v>
      </c>
      <c r="M20">
        <f t="shared" si="4"/>
        <v>1.4274910764982374</v>
      </c>
      <c r="N20">
        <f t="shared" si="2"/>
        <v>0.92328080225729581</v>
      </c>
      <c r="Q20" s="35">
        <f t="shared" si="7"/>
        <v>6.2410666409577154E-2</v>
      </c>
    </row>
    <row r="21" spans="4:17" x14ac:dyDescent="0.25">
      <c r="D21" s="13">
        <v>19</v>
      </c>
      <c r="E21" s="27">
        <v>58.860414533346365</v>
      </c>
      <c r="F21" s="37">
        <f t="shared" si="5"/>
        <v>824462.71999819367</v>
      </c>
      <c r="G21" s="39">
        <f t="shared" si="8"/>
        <v>1.4666040710518007</v>
      </c>
      <c r="H21" s="40">
        <f t="shared" si="6"/>
        <v>92875.810402833507</v>
      </c>
      <c r="I21" s="40">
        <f t="shared" si="1"/>
        <v>-4642245.9804330692</v>
      </c>
      <c r="K21" s="38">
        <v>0.155</v>
      </c>
      <c r="L21" s="38">
        <f t="shared" si="3"/>
        <v>0.92875810402833514</v>
      </c>
      <c r="M21">
        <f t="shared" si="4"/>
        <v>1.3484939529416236</v>
      </c>
      <c r="N21">
        <f t="shared" si="2"/>
        <v>0.91125021809911544</v>
      </c>
      <c r="Q21" s="35">
        <f t="shared" si="7"/>
        <v>-1.2153149126993057E-2</v>
      </c>
    </row>
    <row r="22" spans="4:17" x14ac:dyDescent="0.25">
      <c r="D22" s="13">
        <v>20</v>
      </c>
      <c r="E22" s="27">
        <v>57.76969251766814</v>
      </c>
      <c r="F22" s="37">
        <f t="shared" si="5"/>
        <v>722696.78105781937</v>
      </c>
      <c r="G22" s="39">
        <f t="shared" si="8"/>
        <v>1.3270672591949906</v>
      </c>
      <c r="H22" s="40">
        <f t="shared" si="6"/>
        <v>90775.678268000163</v>
      </c>
      <c r="I22" s="40">
        <f t="shared" si="1"/>
        <v>-4521386.24056732</v>
      </c>
      <c r="K22" s="38">
        <v>0.15</v>
      </c>
      <c r="L22" s="38">
        <f t="shared" si="3"/>
        <v>0.90775678268000171</v>
      </c>
      <c r="M22">
        <f t="shared" si="4"/>
        <v>1.210877758808768</v>
      </c>
      <c r="N22">
        <f t="shared" si="2"/>
        <v>0.8870288710754104</v>
      </c>
      <c r="Q22" s="35">
        <f t="shared" si="7"/>
        <v>-1.8704498228015787E-2</v>
      </c>
    </row>
    <row r="23" spans="4:17" x14ac:dyDescent="0.25">
      <c r="D23" s="13">
        <v>21</v>
      </c>
      <c r="E23" s="27">
        <v>56.1747926919466</v>
      </c>
      <c r="F23" s="37">
        <f t="shared" si="5"/>
        <v>577466.50637668965</v>
      </c>
      <c r="G23" s="39">
        <f t="shared" si="8"/>
        <v>1.1018371169915488</v>
      </c>
      <c r="H23" s="40">
        <f t="shared" si="6"/>
        <v>86473.375464920449</v>
      </c>
      <c r="I23" s="40">
        <f t="shared" si="1"/>
        <v>-4280157.433738078</v>
      </c>
      <c r="K23" s="38">
        <v>0.14499999999999999</v>
      </c>
      <c r="L23" s="38">
        <f t="shared" si="3"/>
        <v>0.86473375464920443</v>
      </c>
      <c r="M23">
        <f t="shared" si="4"/>
        <v>0.98760052040359025</v>
      </c>
      <c r="N23">
        <f t="shared" si="2"/>
        <v>0.83832583433686381</v>
      </c>
      <c r="Q23" s="35">
        <f t="shared" si="7"/>
        <v>-2.7996159585376823E-2</v>
      </c>
    </row>
    <row r="24" spans="4:17" x14ac:dyDescent="0.25">
      <c r="D24" s="13">
        <v>22</v>
      </c>
      <c r="E24" s="27">
        <v>57.658202824051749</v>
      </c>
      <c r="F24" s="37">
        <f t="shared" si="5"/>
        <v>705313.95055381092</v>
      </c>
      <c r="G24" s="39">
        <f t="shared" si="8"/>
        <v>1.3506449336965081</v>
      </c>
      <c r="H24" s="40">
        <f t="shared" si="6"/>
        <v>91159.540015157283</v>
      </c>
      <c r="I24" s="40">
        <f t="shared" si="1"/>
        <v>-4550781.2969873892</v>
      </c>
      <c r="K24" s="38">
        <v>0.14000000000000001</v>
      </c>
      <c r="L24" s="38">
        <f t="shared" si="3"/>
        <v>0.91159540015157281</v>
      </c>
      <c r="M24">
        <f t="shared" si="4"/>
        <v>1.2383952120932897</v>
      </c>
      <c r="N24">
        <f t="shared" si="2"/>
        <v>0.89221522245319429</v>
      </c>
      <c r="Q24" s="35">
        <f t="shared" si="7"/>
        <v>2.606439555282769E-2</v>
      </c>
    </row>
    <row r="25" spans="4:17" x14ac:dyDescent="0.25">
      <c r="D25" s="13">
        <v>23</v>
      </c>
      <c r="E25" s="27">
        <v>60.225732091857637</v>
      </c>
      <c r="F25" s="37">
        <f t="shared" si="5"/>
        <v>938913.63669808535</v>
      </c>
      <c r="G25" s="39">
        <f t="shared" si="8"/>
        <v>1.7677305108511907</v>
      </c>
      <c r="H25" s="40">
        <f t="shared" si="6"/>
        <v>96144.701663672808</v>
      </c>
      <c r="I25" s="40">
        <f t="shared" si="1"/>
        <v>-4851471.4077498522</v>
      </c>
      <c r="K25" s="38">
        <v>0.13500000000000001</v>
      </c>
      <c r="L25" s="38">
        <f t="shared" si="3"/>
        <v>0.96144701663672805</v>
      </c>
      <c r="M25">
        <f t="shared" si="4"/>
        <v>1.6575034724259476</v>
      </c>
      <c r="N25">
        <f t="shared" si="2"/>
        <v>0.95129113628974926</v>
      </c>
      <c r="Q25" s="35">
        <f t="shared" si="7"/>
        <v>4.3567181152837975E-2</v>
      </c>
    </row>
    <row r="26" spans="4:17" x14ac:dyDescent="0.25">
      <c r="D26" s="13">
        <v>24</v>
      </c>
      <c r="E26" s="27">
        <v>57.678412831982378</v>
      </c>
      <c r="F26" s="37">
        <f t="shared" si="5"/>
        <v>693517.21501630987</v>
      </c>
      <c r="G26" s="39">
        <f t="shared" si="8"/>
        <v>1.3988611710787537</v>
      </c>
      <c r="H26" s="40">
        <f t="shared" si="6"/>
        <v>91907.269083232328</v>
      </c>
      <c r="I26" s="40">
        <f t="shared" si="1"/>
        <v>-4607548.1934264544</v>
      </c>
      <c r="K26" s="38">
        <v>0.13</v>
      </c>
      <c r="L26" s="38">
        <f t="shared" si="3"/>
        <v>0.91907269083232324</v>
      </c>
      <c r="M26">
        <f t="shared" si="4"/>
        <v>1.2906946328148341</v>
      </c>
      <c r="N26">
        <f t="shared" si="2"/>
        <v>0.90159520674536031</v>
      </c>
      <c r="Q26" s="35">
        <f t="shared" si="7"/>
        <v>-4.3216728557666784E-2</v>
      </c>
    </row>
    <row r="27" spans="4:17" x14ac:dyDescent="0.25">
      <c r="D27" s="13">
        <v>25</v>
      </c>
      <c r="E27" s="27">
        <v>60.368030670611553</v>
      </c>
      <c r="F27" s="37">
        <f t="shared" si="5"/>
        <v>940251.86758441152</v>
      </c>
      <c r="G27" s="39">
        <f t="shared" si="8"/>
        <v>1.853201157959915</v>
      </c>
      <c r="H27" s="40">
        <f t="shared" si="6"/>
        <v>96807.323411211706</v>
      </c>
      <c r="I27" s="40">
        <f t="shared" si="1"/>
        <v>-4903815.6012434289</v>
      </c>
      <c r="K27" s="38">
        <v>0.125</v>
      </c>
      <c r="L27" s="38">
        <f t="shared" si="3"/>
        <v>0.9680732341121171</v>
      </c>
      <c r="M27">
        <f t="shared" si="4"/>
        <v>1.7471351407819329</v>
      </c>
      <c r="N27">
        <f t="shared" si="2"/>
        <v>0.95969305046686693</v>
      </c>
      <c r="Q27" s="35">
        <f t="shared" si="7"/>
        <v>4.5576695467031136E-2</v>
      </c>
    </row>
    <row r="28" spans="4:17" x14ac:dyDescent="0.25">
      <c r="D28" s="13">
        <v>26</v>
      </c>
      <c r="E28" s="27">
        <v>61.000989747117231</v>
      </c>
      <c r="F28" s="37">
        <f t="shared" si="5"/>
        <v>1001036.5355297386</v>
      </c>
      <c r="G28" s="39">
        <f t="shared" si="8"/>
        <v>1.9886549427707301</v>
      </c>
      <c r="H28" s="40">
        <f t="shared" si="6"/>
        <v>97663.034875848069</v>
      </c>
      <c r="I28" s="40">
        <f t="shared" si="1"/>
        <v>-4956505.2536042221</v>
      </c>
      <c r="K28" s="38">
        <v>0.12</v>
      </c>
      <c r="L28" s="38">
        <f t="shared" si="3"/>
        <v>0.97663034875848065</v>
      </c>
      <c r="M28">
        <f t="shared" si="4"/>
        <v>1.8847318943165974</v>
      </c>
      <c r="N28">
        <f t="shared" si="2"/>
        <v>0.97026697799703754</v>
      </c>
      <c r="Q28" s="35">
        <f t="shared" si="7"/>
        <v>1.0430418121679885E-2</v>
      </c>
    </row>
    <row r="29" spans="4:17" x14ac:dyDescent="0.25">
      <c r="D29" s="13">
        <v>27</v>
      </c>
      <c r="E29" s="27">
        <v>63.672238634098292</v>
      </c>
      <c r="F29" s="37">
        <f t="shared" si="5"/>
        <v>1261423.1334323273</v>
      </c>
      <c r="G29" s="39">
        <f t="shared" si="8"/>
        <v>2.4495087337635484</v>
      </c>
      <c r="H29" s="40">
        <f t="shared" si="6"/>
        <v>99284.743797552772</v>
      </c>
      <c r="I29" s="40">
        <f t="shared" si="1"/>
        <v>-5060258.766370764</v>
      </c>
      <c r="K29" s="38">
        <v>0.115</v>
      </c>
      <c r="L29" s="38">
        <f t="shared" si="3"/>
        <v>0.99284743797552777</v>
      </c>
      <c r="M29">
        <f t="shared" si="4"/>
        <v>2.3477737840166695</v>
      </c>
      <c r="N29">
        <f t="shared" si="2"/>
        <v>0.99055700619666598</v>
      </c>
      <c r="Q29" s="35">
        <f t="shared" si="7"/>
        <v>4.285856395786336E-2</v>
      </c>
    </row>
    <row r="30" spans="4:17" x14ac:dyDescent="0.25">
      <c r="D30" s="13">
        <v>28</v>
      </c>
      <c r="E30" s="27">
        <v>65.224768387505492</v>
      </c>
      <c r="F30" s="37">
        <f t="shared" si="5"/>
        <v>1415059.6010586643</v>
      </c>
      <c r="G30" s="39">
        <f t="shared" si="8"/>
        <v>2.7434142827452535</v>
      </c>
      <c r="H30" s="40">
        <f t="shared" si="6"/>
        <v>99695.980397944368</v>
      </c>
      <c r="I30" s="40">
        <f t="shared" si="1"/>
        <v>-5087587.6295625456</v>
      </c>
      <c r="K30" s="38">
        <v>0.11</v>
      </c>
      <c r="L30" s="38">
        <f t="shared" si="3"/>
        <v>0.99695980397944362</v>
      </c>
      <c r="M30">
        <f t="shared" si="4"/>
        <v>2.6439155390345914</v>
      </c>
      <c r="N30">
        <f t="shared" si="2"/>
        <v>0.99590234485151941</v>
      </c>
      <c r="Q30" s="35">
        <f t="shared" si="7"/>
        <v>2.4090626677063298E-2</v>
      </c>
    </row>
    <row r="31" spans="4:17" x14ac:dyDescent="0.25">
      <c r="D31" s="13">
        <v>29</v>
      </c>
      <c r="E31" s="27">
        <v>64.171367455047843</v>
      </c>
      <c r="F31" s="37">
        <f t="shared" si="5"/>
        <v>1309530.9781434475</v>
      </c>
      <c r="G31" s="39">
        <f t="shared" si="8"/>
        <v>2.6371380260176931</v>
      </c>
      <c r="H31" s="40">
        <f t="shared" si="6"/>
        <v>99581.955979610735</v>
      </c>
      <c r="I31" s="40">
        <f t="shared" si="1"/>
        <v>-5080779.3109165523</v>
      </c>
      <c r="K31" s="38">
        <v>0.105</v>
      </c>
      <c r="L31" s="38">
        <f t="shared" si="3"/>
        <v>0.99581955979610737</v>
      </c>
      <c r="M31">
        <f t="shared" si="4"/>
        <v>2.5399269155415753</v>
      </c>
      <c r="N31">
        <f t="shared" si="2"/>
        <v>0.99445621823767938</v>
      </c>
      <c r="Q31" s="35">
        <f t="shared" si="7"/>
        <v>-1.6282158623061704E-2</v>
      </c>
    </row>
    <row r="32" spans="4:17" x14ac:dyDescent="0.25">
      <c r="D32" s="13">
        <v>30</v>
      </c>
      <c r="E32" s="27">
        <v>64.355931148955875</v>
      </c>
      <c r="F32" s="37">
        <f t="shared" si="5"/>
        <v>1327402.0884497962</v>
      </c>
      <c r="G32" s="39">
        <f t="shared" si="8"/>
        <v>2.7291098625385666</v>
      </c>
      <c r="H32" s="40">
        <f t="shared" si="6"/>
        <v>99682.472284665229</v>
      </c>
      <c r="I32" s="40">
        <f t="shared" si="1"/>
        <v>-5087756.2346598208</v>
      </c>
      <c r="K32" s="38">
        <v>0.1</v>
      </c>
      <c r="L32" s="38">
        <f t="shared" si="3"/>
        <v>0.99682472284665224</v>
      </c>
      <c r="M32">
        <f t="shared" si="4"/>
        <v>2.6342415327335154</v>
      </c>
      <c r="N32">
        <f t="shared" si="2"/>
        <v>0.99578372607748766</v>
      </c>
      <c r="Q32" s="35">
        <f t="shared" si="7"/>
        <v>2.8719785255493235E-3</v>
      </c>
    </row>
    <row r="33" spans="4:17" x14ac:dyDescent="0.25">
      <c r="D33" s="13">
        <v>31</v>
      </c>
      <c r="E33" s="27">
        <v>66.475118235295795</v>
      </c>
      <c r="F33" s="37">
        <f t="shared" si="5"/>
        <v>1538139.0953868004</v>
      </c>
      <c r="G33" s="39">
        <f t="shared" si="8"/>
        <v>3.1468761421306906</v>
      </c>
      <c r="H33" s="40">
        <f t="shared" si="6"/>
        <v>99917.487574743456</v>
      </c>
      <c r="I33" s="40">
        <f t="shared" si="1"/>
        <v>-5103887.7049179692</v>
      </c>
      <c r="K33" s="38">
        <v>9.5000000000000001E-2</v>
      </c>
      <c r="L33" s="38">
        <f t="shared" si="3"/>
        <v>0.99917487574743458</v>
      </c>
      <c r="M33">
        <f t="shared" si="4"/>
        <v>3.054409932086156</v>
      </c>
      <c r="N33">
        <f t="shared" si="2"/>
        <v>0.99887248142427276</v>
      </c>
      <c r="Q33" s="35">
        <f t="shared" si="7"/>
        <v>3.2398615828864941E-2</v>
      </c>
    </row>
    <row r="34" spans="4:17" x14ac:dyDescent="0.25">
      <c r="D34" s="13">
        <v>32</v>
      </c>
      <c r="E34" s="27">
        <v>64.081155236851544</v>
      </c>
      <c r="F34" s="37">
        <f t="shared" si="5"/>
        <v>1298429.9129445702</v>
      </c>
      <c r="G34" s="39">
        <f t="shared" si="8"/>
        <v>2.8219702801134328</v>
      </c>
      <c r="H34" s="40">
        <f t="shared" si="6"/>
        <v>99761.351998855273</v>
      </c>
      <c r="I34" s="40">
        <f t="shared" si="1"/>
        <v>-5094392.7711322643</v>
      </c>
      <c r="K34" s="38">
        <v>0.09</v>
      </c>
      <c r="L34" s="38">
        <f t="shared" si="3"/>
        <v>0.99761351998855274</v>
      </c>
      <c r="M34">
        <f t="shared" si="4"/>
        <v>2.7319702801134329</v>
      </c>
      <c r="N34">
        <f t="shared" si="2"/>
        <v>0.99685215901142943</v>
      </c>
      <c r="Q34" s="35">
        <f t="shared" si="7"/>
        <v>-3.6677385132183105E-2</v>
      </c>
    </row>
    <row r="35" spans="4:17" x14ac:dyDescent="0.25">
      <c r="D35" s="13">
        <v>33</v>
      </c>
      <c r="E35" s="27">
        <v>65.926260307866556</v>
      </c>
      <c r="F35" s="37">
        <f t="shared" si="5"/>
        <v>1481990.6246590454</v>
      </c>
      <c r="G35" s="39">
        <f t="shared" si="8"/>
        <v>3.2246175125738681</v>
      </c>
      <c r="H35" s="40">
        <f t="shared" si="6"/>
        <v>99936.929462500644</v>
      </c>
      <c r="I35" s="40">
        <f t="shared" si="1"/>
        <v>-5106477.4014546704</v>
      </c>
      <c r="K35" s="38">
        <v>8.5000000000000006E-2</v>
      </c>
      <c r="L35" s="38">
        <f t="shared" si="3"/>
        <v>0.99936929462500645</v>
      </c>
      <c r="M35">
        <f t="shared" si="4"/>
        <v>3.1371532341511887</v>
      </c>
      <c r="N35">
        <f t="shared" si="2"/>
        <v>0.9991470152926788</v>
      </c>
      <c r="Q35" s="35">
        <f t="shared" si="7"/>
        <v>2.8386518716200015E-2</v>
      </c>
    </row>
    <row r="36" spans="4:17" x14ac:dyDescent="0.25">
      <c r="D36" s="13">
        <v>34</v>
      </c>
      <c r="E36" s="27">
        <v>65.474087559712913</v>
      </c>
      <c r="F36" s="37">
        <f t="shared" si="5"/>
        <v>1436291.1953485657</v>
      </c>
      <c r="G36" s="39">
        <f t="shared" si="8"/>
        <v>3.2389196897805292</v>
      </c>
      <c r="H36" s="40">
        <f t="shared" si="6"/>
        <v>99940.008323665228</v>
      </c>
      <c r="I36" s="40">
        <f t="shared" si="1"/>
        <v>-5107189.6603535293</v>
      </c>
      <c r="K36" s="38">
        <v>0.08</v>
      </c>
      <c r="L36" s="38">
        <f t="shared" si="3"/>
        <v>0.9994000832366523</v>
      </c>
      <c r="M36">
        <f t="shared" si="4"/>
        <v>3.1540668760381436</v>
      </c>
      <c r="N36">
        <f t="shared" si="2"/>
        <v>0.99919493907902823</v>
      </c>
      <c r="Q36" s="35">
        <f t="shared" si="7"/>
        <v>-6.8823947629157445E-3</v>
      </c>
    </row>
    <row r="37" spans="4:17" x14ac:dyDescent="0.25">
      <c r="D37" s="13">
        <v>35</v>
      </c>
      <c r="E37" s="27">
        <v>65.695142010620415</v>
      </c>
      <c r="F37" s="37">
        <f t="shared" si="5"/>
        <v>1457872.6345094095</v>
      </c>
      <c r="G37" s="39">
        <f t="shared" si="8"/>
        <v>3.3822108355319309</v>
      </c>
      <c r="H37" s="40">
        <f t="shared" si="6"/>
        <v>99964.047532541241</v>
      </c>
      <c r="I37" s="40">
        <f t="shared" si="1"/>
        <v>-5109279.6640972961</v>
      </c>
      <c r="K37" s="38">
        <v>7.4999999999999997E-2</v>
      </c>
      <c r="L37" s="38">
        <f t="shared" si="3"/>
        <v>0.99964047532541234</v>
      </c>
      <c r="M37">
        <f t="shared" si="4"/>
        <v>3.300052451906156</v>
      </c>
      <c r="N37">
        <f t="shared" si="2"/>
        <v>0.99951666620182145</v>
      </c>
      <c r="Q37" s="35">
        <f t="shared" si="7"/>
        <v>3.3705261653924623E-3</v>
      </c>
    </row>
    <row r="38" spans="4:17" x14ac:dyDescent="0.25">
      <c r="D38" s="13">
        <v>36</v>
      </c>
      <c r="E38" s="27">
        <v>62.346014594209088</v>
      </c>
      <c r="F38" s="37">
        <f t="shared" si="5"/>
        <v>1122569.3487490707</v>
      </c>
      <c r="G38" s="39">
        <f t="shared" si="8"/>
        <v>2.8375902629575283</v>
      </c>
      <c r="H38" s="40">
        <f t="shared" si="6"/>
        <v>99772.722538219547</v>
      </c>
      <c r="I38" s="40">
        <f t="shared" si="1"/>
        <v>-5097862.2667227397</v>
      </c>
      <c r="K38" s="38">
        <v>7.0000000000000007E-2</v>
      </c>
      <c r="L38" s="38">
        <f t="shared" si="3"/>
        <v>0.99772722538219549</v>
      </c>
      <c r="M38">
        <f t="shared" si="4"/>
        <v>2.7582177236255907</v>
      </c>
      <c r="N38">
        <f t="shared" si="2"/>
        <v>0.99709412626265359</v>
      </c>
      <c r="Q38" s="35">
        <f t="shared" si="7"/>
        <v>-5.2325230574365555E-2</v>
      </c>
    </row>
    <row r="39" spans="4:17" x14ac:dyDescent="0.25">
      <c r="D39" s="13">
        <v>37</v>
      </c>
      <c r="E39" s="27">
        <v>58.918220252505854</v>
      </c>
      <c r="F39" s="37">
        <f t="shared" si="5"/>
        <v>780059.16325940157</v>
      </c>
      <c r="G39" s="39">
        <f t="shared" si="8"/>
        <v>2.2011078677903653</v>
      </c>
      <c r="H39" s="40">
        <f t="shared" si="6"/>
        <v>98613.580578161811</v>
      </c>
      <c r="I39" s="40">
        <f t="shared" si="1"/>
        <v>-5030077.4971329691</v>
      </c>
      <c r="K39" s="38">
        <v>6.5000000000000002E-2</v>
      </c>
      <c r="L39" s="38">
        <f t="shared" si="3"/>
        <v>0.98613580578161808</v>
      </c>
      <c r="M39">
        <f t="shared" si="4"/>
        <v>2.1246225750864736</v>
      </c>
      <c r="N39">
        <f t="shared" si="2"/>
        <v>0.98319094069640189</v>
      </c>
      <c r="Q39" s="35">
        <f t="shared" si="7"/>
        <v>-5.6549365213734326E-2</v>
      </c>
    </row>
    <row r="40" spans="4:17" x14ac:dyDescent="0.25">
      <c r="D40" s="13">
        <v>38</v>
      </c>
      <c r="E40" s="27">
        <v>60.953680798721876</v>
      </c>
      <c r="F40" s="37">
        <f t="shared" si="5"/>
        <v>980280.18294640514</v>
      </c>
      <c r="G40" s="39">
        <f t="shared" si="8"/>
        <v>2.7487526022355584</v>
      </c>
      <c r="H40" s="40">
        <f t="shared" si="6"/>
        <v>99700.887400040199</v>
      </c>
      <c r="I40" s="40">
        <f t="shared" si="1"/>
        <v>-5096855.8829849567</v>
      </c>
      <c r="K40" s="38">
        <v>0.06</v>
      </c>
      <c r="L40" s="38">
        <f t="shared" si="3"/>
        <v>0.99700887400040206</v>
      </c>
      <c r="M40">
        <f t="shared" si="4"/>
        <v>2.6752679099520629</v>
      </c>
      <c r="N40">
        <f t="shared" si="2"/>
        <v>0.99626652231703228</v>
      </c>
      <c r="Q40" s="35">
        <f t="shared" si="7"/>
        <v>3.3963859597951895E-2</v>
      </c>
    </row>
    <row r="41" spans="4:17" x14ac:dyDescent="0.25">
      <c r="D41" s="13">
        <v>39</v>
      </c>
      <c r="E41" s="27">
        <v>65.731220769996611</v>
      </c>
      <c r="F41" s="37">
        <f t="shared" si="5"/>
        <v>1456095.4465982311</v>
      </c>
      <c r="G41" s="39">
        <f t="shared" si="8"/>
        <v>3.9388975783643136</v>
      </c>
      <c r="H41" s="40">
        <f t="shared" si="6"/>
        <v>99995.907156887741</v>
      </c>
      <c r="I41" s="40">
        <f t="shared" si="1"/>
        <v>-5116757.6028272416</v>
      </c>
      <c r="K41" s="38">
        <v>5.5E-2</v>
      </c>
      <c r="L41" s="38">
        <f t="shared" si="3"/>
        <v>0.99995907156887742</v>
      </c>
      <c r="M41">
        <f t="shared" si="4"/>
        <v>3.8685413419669623</v>
      </c>
      <c r="N41">
        <f t="shared" si="2"/>
        <v>0.99994525581278437</v>
      </c>
      <c r="Q41" s="35">
        <f t="shared" si="7"/>
        <v>7.5459770029617346E-2</v>
      </c>
    </row>
    <row r="42" spans="4:17" x14ac:dyDescent="0.25">
      <c r="D42" s="13">
        <v>40</v>
      </c>
      <c r="E42" s="27">
        <v>61.062636483214987</v>
      </c>
      <c r="F42" s="37">
        <f t="shared" si="5"/>
        <v>988744.42435818701</v>
      </c>
      <c r="G42" s="39">
        <f t="shared" si="8"/>
        <v>3.0280409116353049</v>
      </c>
      <c r="H42" s="40">
        <f t="shared" si="6"/>
        <v>99876.927619364156</v>
      </c>
      <c r="I42" s="40">
        <f t="shared" si="1"/>
        <v>-5110004.0999234207</v>
      </c>
      <c r="K42" s="38">
        <v>0.05</v>
      </c>
      <c r="L42" s="38">
        <f t="shared" si="3"/>
        <v>0.99876927619364153</v>
      </c>
      <c r="M42">
        <f t="shared" si="4"/>
        <v>2.9609588723103113</v>
      </c>
      <c r="N42">
        <f t="shared" si="2"/>
        <v>0.9984665855525926</v>
      </c>
      <c r="Q42" s="35">
        <f t="shared" si="7"/>
        <v>-7.3673849656345602E-2</v>
      </c>
    </row>
    <row r="43" spans="4:17" x14ac:dyDescent="0.25">
      <c r="D43" s="13">
        <v>41</v>
      </c>
      <c r="E43" s="27">
        <v>61.90703185617911</v>
      </c>
      <c r="F43" s="37">
        <f t="shared" si="5"/>
        <v>1072569.0139449858</v>
      </c>
      <c r="G43" s="39">
        <f t="shared" si="8"/>
        <v>3.4025313327328388</v>
      </c>
      <c r="H43" s="40">
        <f t="shared" si="6"/>
        <v>99966.617650359331</v>
      </c>
      <c r="I43" s="40">
        <f t="shared" si="1"/>
        <v>-5116067.5694902856</v>
      </c>
      <c r="K43" s="38">
        <v>4.4999999999999998E-2</v>
      </c>
      <c r="L43" s="38">
        <f t="shared" si="3"/>
        <v>0.99966617650359324</v>
      </c>
      <c r="M43">
        <f t="shared" si="4"/>
        <v>3.3388917224260495</v>
      </c>
      <c r="N43">
        <f t="shared" si="2"/>
        <v>0.99957943328194321</v>
      </c>
      <c r="Q43" s="35">
        <f t="shared" si="7"/>
        <v>1.3733608559749477E-2</v>
      </c>
    </row>
    <row r="44" spans="4:17" x14ac:dyDescent="0.25">
      <c r="D44" s="13">
        <v>42</v>
      </c>
      <c r="E44" s="27">
        <v>65.677620907117387</v>
      </c>
      <c r="F44" s="37">
        <f t="shared" si="5"/>
        <v>1448990.4155786242</v>
      </c>
      <c r="G44" s="39">
        <f t="shared" si="8"/>
        <v>4.5889206095657356</v>
      </c>
      <c r="H44" s="40">
        <f t="shared" si="6"/>
        <v>99999.777228087754</v>
      </c>
      <c r="I44" s="40">
        <f t="shared" si="1"/>
        <v>-5118757.0440039132</v>
      </c>
      <c r="K44" s="38">
        <v>0.04</v>
      </c>
      <c r="L44" s="38">
        <f t="shared" si="3"/>
        <v>0.99999777228087761</v>
      </c>
      <c r="M44">
        <f t="shared" si="4"/>
        <v>4.5289206095657359</v>
      </c>
      <c r="N44">
        <f t="shared" si="2"/>
        <v>0.99999703571160903</v>
      </c>
      <c r="Q44" s="35">
        <f t="shared" si="7"/>
        <v>5.9124468502185223E-2</v>
      </c>
    </row>
    <row r="45" spans="4:17" x14ac:dyDescent="0.25">
      <c r="D45" s="13">
        <v>43</v>
      </c>
      <c r="E45" s="27">
        <v>62.972188553462196</v>
      </c>
      <c r="F45" s="37">
        <f t="shared" si="5"/>
        <v>1177935.8816084052</v>
      </c>
      <c r="G45" s="39">
        <f t="shared" si="8"/>
        <v>4.1504810637489911</v>
      </c>
      <c r="H45" s="40">
        <f t="shared" si="6"/>
        <v>99998.341113911942</v>
      </c>
      <c r="I45" s="40">
        <f t="shared" si="1"/>
        <v>-5119178.5100502884</v>
      </c>
      <c r="K45" s="38">
        <v>3.5000000000000003E-2</v>
      </c>
      <c r="L45" s="38">
        <f t="shared" si="3"/>
        <v>0.99998341113911948</v>
      </c>
      <c r="M45">
        <f t="shared" si="4"/>
        <v>4.0943562029473819</v>
      </c>
      <c r="N45">
        <f t="shared" si="2"/>
        <v>0.99997883284734868</v>
      </c>
      <c r="Q45" s="35">
        <f t="shared" si="7"/>
        <v>-4.2065064611317204E-2</v>
      </c>
    </row>
    <row r="46" spans="4:17" x14ac:dyDescent="0.25">
      <c r="D46" s="13">
        <v>44</v>
      </c>
      <c r="E46" s="27">
        <v>62.289091359858304</v>
      </c>
      <c r="F46" s="37">
        <f t="shared" si="5"/>
        <v>1109115.3519806962</v>
      </c>
      <c r="G46" s="39">
        <f t="shared" si="8"/>
        <v>4.2668745725626556</v>
      </c>
      <c r="H46" s="40">
        <f t="shared" si="6"/>
        <v>99999.008847329373</v>
      </c>
      <c r="I46" s="40">
        <f t="shared" si="1"/>
        <v>-5119732.0460058814</v>
      </c>
      <c r="K46" s="38">
        <v>0.03</v>
      </c>
      <c r="L46" s="38">
        <f t="shared" si="3"/>
        <v>0.99999008847329374</v>
      </c>
      <c r="M46">
        <f t="shared" si="4"/>
        <v>4.214913048335589</v>
      </c>
      <c r="N46">
        <f t="shared" si="2"/>
        <v>0.99998750627792865</v>
      </c>
      <c r="Q46" s="35">
        <f t="shared" si="7"/>
        <v>-1.090686548655917E-2</v>
      </c>
    </row>
    <row r="47" spans="4:17" x14ac:dyDescent="0.25">
      <c r="D47" s="13">
        <v>45</v>
      </c>
      <c r="E47" s="27">
        <v>62.216672392706016</v>
      </c>
      <c r="F47" s="37">
        <f t="shared" si="5"/>
        <v>1101361.5282396057</v>
      </c>
      <c r="G47" s="39">
        <f t="shared" si="8"/>
        <v>4.6427507209356698</v>
      </c>
      <c r="H47" s="40">
        <f t="shared" si="6"/>
        <v>99999.828099473365</v>
      </c>
      <c r="I47" s="40">
        <f t="shared" si="1"/>
        <v>-5120295.0159522463</v>
      </c>
      <c r="K47" s="38">
        <v>2.5000000000000001E-2</v>
      </c>
      <c r="L47" s="38">
        <f t="shared" si="3"/>
        <v>0.99999828099473365</v>
      </c>
      <c r="M47">
        <f t="shared" si="4"/>
        <v>4.5953165560331444</v>
      </c>
      <c r="N47">
        <f t="shared" si="2"/>
        <v>0.99999783953606491</v>
      </c>
      <c r="P47" s="19"/>
      <c r="Q47" s="35">
        <f t="shared" si="7"/>
        <v>-1.1633031778846004E-3</v>
      </c>
    </row>
    <row r="48" spans="4:17" x14ac:dyDescent="0.25">
      <c r="D48" s="13">
        <v>46</v>
      </c>
      <c r="E48" s="27">
        <v>65.067232008956992</v>
      </c>
      <c r="F48" s="37">
        <f t="shared" si="5"/>
        <v>1385904.9447480801</v>
      </c>
      <c r="G48" s="39">
        <f t="shared" si="8"/>
        <v>6.2389933069483341</v>
      </c>
      <c r="H48" s="40">
        <f t="shared" si="6"/>
        <v>99999.999977980202</v>
      </c>
      <c r="I48" s="40">
        <f t="shared" si="1"/>
        <v>-5120818.2547148513</v>
      </c>
      <c r="K48" s="38">
        <v>0.02</v>
      </c>
      <c r="L48" s="38">
        <f t="shared" si="3"/>
        <v>0.99999999977980203</v>
      </c>
      <c r="M48">
        <f t="shared" si="4"/>
        <v>6.1965669000771415</v>
      </c>
      <c r="N48">
        <f t="shared" si="2"/>
        <v>0.99999999971145992</v>
      </c>
      <c r="Q48" s="35">
        <f t="shared" si="7"/>
        <v>4.4798065209056048E-2</v>
      </c>
    </row>
    <row r="49" spans="4:17" x14ac:dyDescent="0.25">
      <c r="D49" s="13">
        <v>47</v>
      </c>
      <c r="E49" s="27">
        <v>62.870612084247767</v>
      </c>
      <c r="F49" s="37">
        <f t="shared" si="5"/>
        <v>1165730.8448951102</v>
      </c>
      <c r="G49" s="39">
        <f t="shared" si="8"/>
        <v>6.2606462783989327</v>
      </c>
      <c r="H49" s="40">
        <f t="shared" si="6"/>
        <v>99999.999980830733</v>
      </c>
      <c r="I49" s="40">
        <f t="shared" si="1"/>
        <v>-5121330.3623244828</v>
      </c>
      <c r="K49" s="38">
        <v>1.4999999999999999E-2</v>
      </c>
      <c r="L49" s="38">
        <f t="shared" si="3"/>
        <v>0.99999999980830734</v>
      </c>
      <c r="M49">
        <f t="shared" si="4"/>
        <v>6.2239039322571852</v>
      </c>
      <c r="N49">
        <f t="shared" si="2"/>
        <v>0.99999999975753295</v>
      </c>
      <c r="Q49" s="35">
        <f t="shared" si="7"/>
        <v>-3.4342235875261196E-2</v>
      </c>
    </row>
    <row r="50" spans="4:17" x14ac:dyDescent="0.25">
      <c r="D50" s="13">
        <v>48</v>
      </c>
      <c r="E50" s="27">
        <v>64.952436746888267</v>
      </c>
      <c r="F50" s="37">
        <f t="shared" si="5"/>
        <v>1373401.1524755151</v>
      </c>
      <c r="G50" s="39">
        <f t="shared" si="8"/>
        <v>8.742741808593788</v>
      </c>
      <c r="H50" s="40">
        <f t="shared" si="6"/>
        <v>100000</v>
      </c>
      <c r="I50" s="40">
        <f t="shared" si="1"/>
        <v>-5121842.5222133109</v>
      </c>
      <c r="K50" s="38">
        <v>0.01</v>
      </c>
      <c r="L50" s="38">
        <f t="shared" si="3"/>
        <v>1</v>
      </c>
      <c r="M50">
        <f t="shared" si="4"/>
        <v>8.7127418085937887</v>
      </c>
      <c r="N50">
        <f t="shared" si="2"/>
        <v>1</v>
      </c>
      <c r="Q50" s="35">
        <f t="shared" si="7"/>
        <v>3.2576421625836183E-2</v>
      </c>
    </row>
    <row r="51" spans="4:17" x14ac:dyDescent="0.25">
      <c r="D51" s="13">
        <v>49</v>
      </c>
      <c r="E51" s="27">
        <v>65.82594192430598</v>
      </c>
      <c r="F51" s="37">
        <f t="shared" si="5"/>
        <v>1460239.4603549985</v>
      </c>
      <c r="G51" s="39">
        <f t="shared" si="8"/>
        <v>12.978521146512303</v>
      </c>
      <c r="H51" s="40">
        <f t="shared" si="6"/>
        <v>100000</v>
      </c>
      <c r="I51" s="40">
        <f t="shared" si="1"/>
        <v>-5122354.732075599</v>
      </c>
      <c r="K51" s="38">
        <v>5.0000000000000001E-3</v>
      </c>
      <c r="L51" s="38">
        <f t="shared" si="3"/>
        <v>1</v>
      </c>
      <c r="M51">
        <f t="shared" si="4"/>
        <v>12.957307943076707</v>
      </c>
      <c r="N51">
        <f t="shared" si="2"/>
        <v>1</v>
      </c>
      <c r="Q51" s="35">
        <f t="shared" si="7"/>
        <v>1.3358755116342103E-2</v>
      </c>
    </row>
    <row r="52" spans="4:17" x14ac:dyDescent="0.25">
      <c r="D52" s="13">
        <v>50</v>
      </c>
      <c r="E52" s="27">
        <v>64.036908873628676</v>
      </c>
      <c r="F52" s="37">
        <f>F51+H51*(E52-E51)+I51*(EXP(0.02*1/200)-1)</f>
        <v>1280823.8942014328</v>
      </c>
      <c r="G52" s="17"/>
      <c r="H52" s="23"/>
      <c r="K52">
        <v>0</v>
      </c>
      <c r="Q52" s="35">
        <f t="shared" si="7"/>
        <v>-2.7554396520383939E-2</v>
      </c>
    </row>
    <row r="53" spans="4:17" x14ac:dyDescent="0.25">
      <c r="D53" s="13"/>
    </row>
  </sheetData>
  <mergeCells count="1">
    <mergeCell ref="A1:B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9BF6-6AAA-40E0-A45D-675D0DB01662}">
  <dimension ref="A1:S53"/>
  <sheetViews>
    <sheetView showGridLines="0" topLeftCell="E1" zoomScale="90" zoomScaleNormal="90" workbookViewId="0">
      <pane ySplit="11" topLeftCell="A12" activePane="bottomLeft" state="frozen"/>
      <selection pane="bottomLeft" activeCell="O2" sqref="O2"/>
    </sheetView>
  </sheetViews>
  <sheetFormatPr defaultRowHeight="15" x14ac:dyDescent="0.25"/>
  <cols>
    <col min="1" max="1" width="20.85546875" bestFit="1" customWidth="1"/>
    <col min="2" max="2" width="14.42578125" customWidth="1"/>
    <col min="5" max="5" width="10.5703125" bestFit="1" customWidth="1"/>
    <col min="6" max="6" width="14.5703125" bestFit="1" customWidth="1"/>
    <col min="7" max="7" width="27" customWidth="1"/>
    <col min="8" max="8" width="12.5703125" bestFit="1" customWidth="1"/>
    <col min="9" max="9" width="22.28515625" bestFit="1" customWidth="1"/>
    <col min="10" max="10" width="12" bestFit="1" customWidth="1"/>
    <col min="11" max="11" width="16.85546875" customWidth="1"/>
    <col min="12" max="12" width="12.42578125" customWidth="1"/>
    <col min="16" max="16" width="10.85546875" customWidth="1"/>
    <col min="18" max="18" width="18.42578125" bestFit="1" customWidth="1"/>
    <col min="19" max="19" width="18" bestFit="1" customWidth="1"/>
  </cols>
  <sheetData>
    <row r="1" spans="1:19" ht="15.75" thickBot="1" x14ac:dyDescent="0.3">
      <c r="A1" s="56" t="s">
        <v>5</v>
      </c>
      <c r="B1" s="57"/>
      <c r="D1" s="14" t="s">
        <v>10</v>
      </c>
      <c r="E1" s="15" t="s">
        <v>7</v>
      </c>
      <c r="F1" s="15" t="s">
        <v>12</v>
      </c>
      <c r="G1" s="15" t="s">
        <v>11</v>
      </c>
      <c r="H1" s="15" t="s">
        <v>8</v>
      </c>
      <c r="I1" s="16" t="s">
        <v>9</v>
      </c>
      <c r="K1" s="28" t="s">
        <v>28</v>
      </c>
      <c r="L1" s="28" t="s">
        <v>27</v>
      </c>
      <c r="M1" s="28" t="s">
        <v>29</v>
      </c>
      <c r="N1" s="28" t="s">
        <v>30</v>
      </c>
      <c r="O1" s="28" t="s">
        <v>26</v>
      </c>
      <c r="R1" s="14" t="s">
        <v>19</v>
      </c>
      <c r="S1" s="24" t="s">
        <v>18</v>
      </c>
    </row>
    <row r="2" spans="1:19" ht="15.75" thickBot="1" x14ac:dyDescent="0.3">
      <c r="A2" s="1" t="s">
        <v>0</v>
      </c>
      <c r="B2" s="2">
        <v>50</v>
      </c>
      <c r="D2" s="13">
        <v>0</v>
      </c>
      <c r="E2" s="18">
        <f>B2</f>
        <v>50</v>
      </c>
      <c r="F2" s="37">
        <f>O2*100000</f>
        <v>310815.12162064441</v>
      </c>
      <c r="G2" s="39">
        <f>((0.02+(0.3^2)/2)*0.25)/(0.3*SQRT(0.25))</f>
        <v>0.10833333333333334</v>
      </c>
      <c r="H2" s="40">
        <f>L2*100000</f>
        <v>54313.435898599892</v>
      </c>
      <c r="I2" s="40">
        <f>F2-(H2*E2)</f>
        <v>-2404856.6733093504</v>
      </c>
      <c r="K2" s="38">
        <v>0.25</v>
      </c>
      <c r="L2" s="38">
        <f>_xlfn.NORM.DIST(G2,0,1,TRUE)</f>
        <v>0.54313435898599893</v>
      </c>
      <c r="M2">
        <f>G2-(0.3*SQRT(K2))</f>
        <v>-4.1666666666666657E-2</v>
      </c>
      <c r="N2">
        <f>_xlfn.NORM.DIST(M2,0,1,TRUE)</f>
        <v>0.48338221350963662</v>
      </c>
      <c r="O2" s="38">
        <f>(E2*L2)-50*EXP(-0.02*K2)*N2</f>
        <v>3.1081512162064442</v>
      </c>
      <c r="Q2" s="14" t="s">
        <v>17</v>
      </c>
      <c r="R2" s="25">
        <v>0.33794342711050412</v>
      </c>
      <c r="S2" s="26">
        <v>0.24901388231924659</v>
      </c>
    </row>
    <row r="3" spans="1:19" x14ac:dyDescent="0.25">
      <c r="A3" s="3" t="s">
        <v>1</v>
      </c>
      <c r="B3" s="4">
        <v>0.25</v>
      </c>
      <c r="D3" s="13">
        <v>1</v>
      </c>
      <c r="E3" s="18">
        <v>47.64062831369759</v>
      </c>
      <c r="F3" s="37">
        <f>F2+H2*(E3-E2)+I2*(EXP(0.02*1/200)-1)</f>
        <v>182429.04108367171</v>
      </c>
      <c r="G3" s="39">
        <f t="shared" ref="G3:G8" si="0">((LN(E3/50)+((0.02+(0.3^2)/2)*K3))/(0.3*SQRT(K3)))</f>
        <v>-0.21827424833943121</v>
      </c>
      <c r="H3" s="40">
        <f>L3*100000</f>
        <v>41360.771878796353</v>
      </c>
      <c r="I3" s="40">
        <f t="shared" ref="I3:I51" si="1">F3-(H3*E3)</f>
        <v>-1788024.118761701</v>
      </c>
      <c r="J3" s="36"/>
      <c r="K3" s="38">
        <v>0.245</v>
      </c>
      <c r="L3" s="38">
        <f>_xlfn.NORM.DIST(G3,0,1,TRUE)</f>
        <v>0.41360771878796354</v>
      </c>
      <c r="M3">
        <f>G3-(0.3*SQRT(K3))</f>
        <v>-0.36676667238860616</v>
      </c>
      <c r="N3">
        <f t="shared" ref="N3:N51" si="2">_xlfn.NORM.DIST(M3,0,1,TRUE)</f>
        <v>0.35689653468647647</v>
      </c>
      <c r="O3" s="38"/>
      <c r="P3" s="34">
        <f>LN(E3)-LN(E2)</f>
        <v>-4.8337072243433532E-2</v>
      </c>
      <c r="Q3" s="35">
        <f>LN(E3)-LN(E2)</f>
        <v>-4.8337072243433532E-2</v>
      </c>
      <c r="R3" s="30">
        <f>(AVERAGE(Q3:Q52))*200</f>
        <v>-0.60337975622488571</v>
      </c>
      <c r="S3" s="31">
        <f>(STDEVA(Q3:Q52))*(SQRT(50*4))</f>
        <v>0.40139638831766739</v>
      </c>
    </row>
    <row r="4" spans="1:19" x14ac:dyDescent="0.25">
      <c r="A4" s="3" t="s">
        <v>2</v>
      </c>
      <c r="B4" s="5">
        <v>0.3</v>
      </c>
      <c r="D4" s="13">
        <v>2</v>
      </c>
      <c r="E4" s="18">
        <v>49.449656477967586</v>
      </c>
      <c r="F4" s="37">
        <f>F3+H3*(E4-E3)+I3*(EXP(0.02*1/200)-1)</f>
        <v>257073.03095606592</v>
      </c>
      <c r="G4" s="39">
        <f t="shared" si="0"/>
        <v>3.0837073814612974E-2</v>
      </c>
      <c r="H4" s="40">
        <f>L4*100000</f>
        <v>51230.02630794268</v>
      </c>
      <c r="I4" s="40">
        <f t="shared" si="1"/>
        <v>-2276234.1713289418</v>
      </c>
      <c r="J4" s="36"/>
      <c r="K4" s="38">
        <v>0.24</v>
      </c>
      <c r="L4" s="38">
        <f>_xlfn.NORM.DIST(G4,0,1,TRUE)</f>
        <v>0.51230026307942678</v>
      </c>
      <c r="M4">
        <f>G4-(0.3*SQRT(K4))</f>
        <v>-0.1161323107523777</v>
      </c>
      <c r="N4">
        <f t="shared" si="2"/>
        <v>0.45377384088843631</v>
      </c>
      <c r="P4" s="33"/>
      <c r="Q4" s="35">
        <f>LN(E4)-LN(E3)</f>
        <v>3.726917800381413E-2</v>
      </c>
    </row>
    <row r="5" spans="1:19" x14ac:dyDescent="0.25">
      <c r="A5" s="3" t="s">
        <v>3</v>
      </c>
      <c r="B5" s="6">
        <v>0.02</v>
      </c>
      <c r="D5" s="13">
        <v>3</v>
      </c>
      <c r="E5" s="18">
        <v>49.372705397661939</v>
      </c>
      <c r="F5" s="37">
        <f>F4+H4*(E5-E4)+I4*(EXP(0.02*1/200)-1)</f>
        <v>252903.19028889976</v>
      </c>
      <c r="G5" s="39">
        <f t="shared" si="0"/>
        <v>1.8220013370170096E-2</v>
      </c>
      <c r="H5" s="40">
        <f>L5*100000</f>
        <v>50726.833153729342</v>
      </c>
      <c r="I5" s="40">
        <f>F5-(H5*E5)</f>
        <v>-2251617.7987665292</v>
      </c>
      <c r="K5" s="38">
        <v>0.23499999999999999</v>
      </c>
      <c r="L5" s="38">
        <f t="shared" ref="L5:L51" si="3">_xlfn.NORM.DIST(G5,0,1,TRUE)</f>
        <v>0.50726833153729345</v>
      </c>
      <c r="M5">
        <f t="shared" ref="M5:M51" si="4">G5-(0.3*SQRT(K5))</f>
        <v>-0.12721038235231977</v>
      </c>
      <c r="N5">
        <f t="shared" si="2"/>
        <v>0.44938694410721591</v>
      </c>
      <c r="Q5" s="35">
        <f>LN(E5)-LN(E4)</f>
        <v>-1.5573620058875193E-3</v>
      </c>
    </row>
    <row r="6" spans="1:19" x14ac:dyDescent="0.25">
      <c r="A6" s="7" t="s">
        <v>4</v>
      </c>
      <c r="B6" s="8">
        <v>50</v>
      </c>
      <c r="D6" s="13">
        <v>4</v>
      </c>
      <c r="E6" s="18">
        <v>49.947589215200104</v>
      </c>
      <c r="F6" s="37">
        <f>F5+H5*(E6-E5)+I5*(EXP(0.02*1/200)-1)</f>
        <v>281840.05274559621</v>
      </c>
      <c r="G6" s="39">
        <f t="shared" si="0"/>
        <v>9.6620259171197598E-2</v>
      </c>
      <c r="H6" s="40">
        <f>L6*100000</f>
        <v>53848.601636195912</v>
      </c>
      <c r="I6" s="40">
        <f t="shared" si="1"/>
        <v>-2407767.7815920697</v>
      </c>
      <c r="K6" s="38">
        <v>0.23</v>
      </c>
      <c r="L6" s="38">
        <f t="shared" si="3"/>
        <v>0.53848601636195914</v>
      </c>
      <c r="M6">
        <f t="shared" si="4"/>
        <v>-4.7254686528183987E-2</v>
      </c>
      <c r="N6">
        <f t="shared" si="2"/>
        <v>0.48115512131029925</v>
      </c>
      <c r="Q6" s="35">
        <f>LN(E6)-LN(E5)</f>
        <v>1.1576490787223115E-2</v>
      </c>
    </row>
    <row r="7" spans="1:19" ht="15.75" thickBot="1" x14ac:dyDescent="0.3">
      <c r="A7" s="3" t="s">
        <v>13</v>
      </c>
      <c r="B7" s="21">
        <v>100000</v>
      </c>
      <c r="D7" s="13">
        <v>5</v>
      </c>
      <c r="E7" s="18">
        <v>47.819475123093028</v>
      </c>
      <c r="F7" s="37">
        <f t="shared" ref="F7:F51" si="5">F6+H6*(E7-E6)+I6*(EXP(0.02*1/200)-1)</f>
        <v>167003.29594594802</v>
      </c>
      <c r="G7" s="39">
        <f t="shared" si="0"/>
        <v>-0.21057269316116367</v>
      </c>
      <c r="H7" s="40">
        <f t="shared" ref="H7:H51" si="6">L7*100000</f>
        <v>41661.036111375688</v>
      </c>
      <c r="I7" s="40">
        <f t="shared" si="1"/>
        <v>-1825205.5839842621</v>
      </c>
      <c r="K7" s="38">
        <v>0.22500000000000001</v>
      </c>
      <c r="L7" s="38">
        <f t="shared" si="3"/>
        <v>0.41661036111375688</v>
      </c>
      <c r="M7">
        <f t="shared" si="4"/>
        <v>-0.35287518786874073</v>
      </c>
      <c r="N7">
        <f t="shared" si="2"/>
        <v>0.36209100648460318</v>
      </c>
      <c r="Q7" s="35">
        <f>LN(E7)-LN(E6)</f>
        <v>-4.3541254095842863E-2</v>
      </c>
    </row>
    <row r="8" spans="1:19" ht="15.75" thickBot="1" x14ac:dyDescent="0.3">
      <c r="A8" s="22" t="s">
        <v>16</v>
      </c>
      <c r="B8" s="11">
        <v>50</v>
      </c>
      <c r="D8" s="13">
        <v>6</v>
      </c>
      <c r="E8" s="18">
        <v>44.883728671325834</v>
      </c>
      <c r="F8" s="37">
        <f t="shared" si="5"/>
        <v>44514.527320301262</v>
      </c>
      <c r="G8" s="39">
        <f t="shared" si="0"/>
        <v>-0.66552498789122028</v>
      </c>
      <c r="H8" s="40">
        <f t="shared" si="6"/>
        <v>25285.738330338216</v>
      </c>
      <c r="I8" s="40">
        <f t="shared" si="1"/>
        <v>-1090403.6911527428</v>
      </c>
      <c r="K8" s="38">
        <v>0.22</v>
      </c>
      <c r="L8" s="38">
        <f t="shared" si="3"/>
        <v>0.25285738330338214</v>
      </c>
      <c r="M8">
        <f t="shared" si="4"/>
        <v>-0.80623746068592317</v>
      </c>
      <c r="N8">
        <f t="shared" si="2"/>
        <v>0.21005297138162118</v>
      </c>
      <c r="Q8" s="35">
        <f t="shared" ref="Q8:Q52" si="7">LN(E8)-LN(E7)</f>
        <v>-6.3357647198711398E-2</v>
      </c>
    </row>
    <row r="9" spans="1:19" x14ac:dyDescent="0.25">
      <c r="A9" s="10" t="s">
        <v>6</v>
      </c>
      <c r="B9" s="12">
        <v>0.10833333333333334</v>
      </c>
      <c r="D9" s="13">
        <v>7</v>
      </c>
      <c r="E9" s="18">
        <v>47.05801754039981</v>
      </c>
      <c r="F9" s="37">
        <f t="shared" si="5"/>
        <v>99383.980896957306</v>
      </c>
      <c r="G9" s="39">
        <f t="shared" ref="G9:G51" si="8">((LN(E9/50)+((0.02+(0.3^2)/2)*K9))/(0.3*SQRT(K9)))</f>
        <v>-0.33548033238790026</v>
      </c>
      <c r="H9" s="40">
        <f t="shared" si="6"/>
        <v>36863.138923295788</v>
      </c>
      <c r="I9" s="40">
        <f t="shared" si="1"/>
        <v>-1635322.257149691</v>
      </c>
      <c r="K9" s="38">
        <v>0.215</v>
      </c>
      <c r="L9" s="38">
        <f t="shared" si="3"/>
        <v>0.36863138923295785</v>
      </c>
      <c r="M9">
        <f t="shared" si="4"/>
        <v>-0.47458460982033579</v>
      </c>
      <c r="N9">
        <f t="shared" si="2"/>
        <v>0.31754153898206161</v>
      </c>
      <c r="Q9" s="35">
        <f t="shared" si="7"/>
        <v>4.7305917523225993E-2</v>
      </c>
    </row>
    <row r="10" spans="1:19" ht="15.75" thickBot="1" x14ac:dyDescent="0.3">
      <c r="A10" s="9" t="s">
        <v>14</v>
      </c>
      <c r="B10" s="41">
        <f>O2*100000</f>
        <v>310815.12162064441</v>
      </c>
      <c r="D10" s="13">
        <v>8</v>
      </c>
      <c r="E10" s="18">
        <v>45.955042770803338</v>
      </c>
      <c r="F10" s="37">
        <f t="shared" si="5"/>
        <v>58561.328333833531</v>
      </c>
      <c r="G10" s="39">
        <f t="shared" si="8"/>
        <v>-0.51433533318964231</v>
      </c>
      <c r="H10" s="40">
        <f t="shared" si="6"/>
        <v>30350.878126562107</v>
      </c>
      <c r="I10" s="40">
        <f t="shared" si="1"/>
        <v>-1336214.5741037678</v>
      </c>
      <c r="K10" s="38">
        <v>0.21</v>
      </c>
      <c r="L10" s="38">
        <f t="shared" si="3"/>
        <v>0.30350878126562109</v>
      </c>
      <c r="M10">
        <f t="shared" si="4"/>
        <v>-0.65181260403831753</v>
      </c>
      <c r="N10">
        <f t="shared" si="2"/>
        <v>0.25726103485670582</v>
      </c>
      <c r="Q10" s="35">
        <f t="shared" si="7"/>
        <v>-2.3717668678343795E-2</v>
      </c>
    </row>
    <row r="11" spans="1:19" ht="15.75" thickBot="1" x14ac:dyDescent="0.3">
      <c r="A11" s="20" t="s">
        <v>15</v>
      </c>
      <c r="B11" s="32">
        <f>F52-(MAX(E52-B6,0)*B7)</f>
        <v>-104400.91062716449</v>
      </c>
      <c r="D11" s="13">
        <v>9</v>
      </c>
      <c r="E11" s="18">
        <v>47.55576980144096</v>
      </c>
      <c r="F11" s="37">
        <f t="shared" si="5"/>
        <v>107011.17121590361</v>
      </c>
      <c r="G11" s="39">
        <f t="shared" si="8"/>
        <v>-0.27088766489724858</v>
      </c>
      <c r="H11" s="40">
        <f t="shared" si="6"/>
        <v>39323.871621957158</v>
      </c>
      <c r="I11" s="40">
        <f t="shared" si="1"/>
        <v>-1763065.8153393075</v>
      </c>
      <c r="K11" s="38">
        <v>0.20499999999999999</v>
      </c>
      <c r="L11" s="38">
        <f t="shared" si="3"/>
        <v>0.39323871621957157</v>
      </c>
      <c r="M11">
        <f t="shared" si="4"/>
        <v>-0.40671844196930984</v>
      </c>
      <c r="N11">
        <f t="shared" si="2"/>
        <v>0.34210739697843157</v>
      </c>
      <c r="Q11" s="35">
        <f t="shared" si="7"/>
        <v>3.4239535885726369E-2</v>
      </c>
    </row>
    <row r="12" spans="1:19" x14ac:dyDescent="0.25">
      <c r="D12" s="13">
        <v>10</v>
      </c>
      <c r="E12" s="18">
        <v>47.329459779719372</v>
      </c>
      <c r="F12" s="37">
        <f t="shared" si="5"/>
        <v>97935.469577804615</v>
      </c>
      <c r="G12" s="39">
        <f t="shared" si="8"/>
        <v>-0.31223018787860291</v>
      </c>
      <c r="H12" s="40">
        <f t="shared" si="6"/>
        <v>37743.279573318905</v>
      </c>
      <c r="I12" s="40">
        <f t="shared" si="1"/>
        <v>-1688433.5629422963</v>
      </c>
      <c r="K12" s="38">
        <v>0.2</v>
      </c>
      <c r="L12" s="38">
        <f t="shared" si="3"/>
        <v>0.37743279573318905</v>
      </c>
      <c r="M12">
        <f t="shared" si="4"/>
        <v>-0.44639426652859027</v>
      </c>
      <c r="N12">
        <f t="shared" si="2"/>
        <v>0.32765623682210793</v>
      </c>
      <c r="Q12" s="35">
        <f t="shared" si="7"/>
        <v>-4.7701934612156549E-3</v>
      </c>
    </row>
    <row r="13" spans="1:19" x14ac:dyDescent="0.25">
      <c r="D13" s="13">
        <v>11</v>
      </c>
      <c r="E13" s="18">
        <v>46.027517597876155</v>
      </c>
      <c r="F13" s="37">
        <f t="shared" si="5"/>
        <v>48627.050021455761</v>
      </c>
      <c r="G13" s="39">
        <f t="shared" si="8"/>
        <v>-0.52921556041623941</v>
      </c>
      <c r="H13" s="40">
        <f t="shared" si="6"/>
        <v>29832.796178774934</v>
      </c>
      <c r="I13" s="40">
        <f t="shared" si="1"/>
        <v>-1324502.5010909599</v>
      </c>
      <c r="K13" s="38">
        <v>0.19500000000000001</v>
      </c>
      <c r="L13" s="38">
        <f t="shared" si="3"/>
        <v>0.29832796178774934</v>
      </c>
      <c r="M13">
        <f t="shared" si="4"/>
        <v>-0.66169197341115704</v>
      </c>
      <c r="N13">
        <f t="shared" si="2"/>
        <v>0.25408432491774935</v>
      </c>
      <c r="Q13" s="35">
        <f t="shared" si="7"/>
        <v>-2.7893503661593488E-2</v>
      </c>
    </row>
    <row r="14" spans="1:19" x14ac:dyDescent="0.25">
      <c r="D14" s="13">
        <v>12</v>
      </c>
      <c r="E14" s="18">
        <v>45.262779462569448</v>
      </c>
      <c r="F14" s="37">
        <f t="shared" si="5"/>
        <v>25680.316227871932</v>
      </c>
      <c r="G14" s="39">
        <f t="shared" si="8"/>
        <v>-0.66674296438905645</v>
      </c>
      <c r="H14" s="40">
        <f t="shared" si="6"/>
        <v>25246.816501156478</v>
      </c>
      <c r="I14" s="40">
        <f t="shared" si="1"/>
        <v>-1117060.771195933</v>
      </c>
      <c r="K14" s="38">
        <v>0.19</v>
      </c>
      <c r="L14" s="38">
        <f t="shared" si="3"/>
        <v>0.25246816501156477</v>
      </c>
      <c r="M14">
        <f t="shared" si="4"/>
        <v>-0.79750993269527659</v>
      </c>
      <c r="N14">
        <f t="shared" si="2"/>
        <v>0.21257746826362309</v>
      </c>
      <c r="Q14" s="35">
        <f t="shared" si="7"/>
        <v>-1.6754376947620386E-2</v>
      </c>
    </row>
    <row r="15" spans="1:19" x14ac:dyDescent="0.25">
      <c r="D15" s="13">
        <v>13</v>
      </c>
      <c r="E15" s="18">
        <v>46.093492043943826</v>
      </c>
      <c r="F15" s="37">
        <f t="shared" si="5"/>
        <v>46541.452672423198</v>
      </c>
      <c r="G15" s="39">
        <f t="shared" si="8"/>
        <v>-0.53726741435050396</v>
      </c>
      <c r="H15" s="40">
        <f t="shared" si="6"/>
        <v>29554.145529264864</v>
      </c>
      <c r="I15" s="40">
        <f t="shared" si="1"/>
        <v>-1315712.3191463049</v>
      </c>
      <c r="K15" s="38">
        <v>0.185</v>
      </c>
      <c r="L15" s="38">
        <f t="shared" si="3"/>
        <v>0.29554145529264864</v>
      </c>
      <c r="M15">
        <f t="shared" si="4"/>
        <v>-0.66630229335614333</v>
      </c>
      <c r="N15">
        <f t="shared" si="2"/>
        <v>0.25260895001028505</v>
      </c>
      <c r="Q15" s="35">
        <f t="shared" si="7"/>
        <v>1.8186720288269065E-2</v>
      </c>
    </row>
    <row r="16" spans="1:19" x14ac:dyDescent="0.25">
      <c r="D16" s="13">
        <v>14</v>
      </c>
      <c r="E16" s="18">
        <v>47.44439265589326</v>
      </c>
      <c r="F16" s="37">
        <f t="shared" si="5"/>
        <v>86334.588142854176</v>
      </c>
      <c r="G16" s="39">
        <f t="shared" si="8"/>
        <v>-0.32027742550425808</v>
      </c>
      <c r="H16" s="40">
        <f t="shared" si="6"/>
        <v>37437.901721057155</v>
      </c>
      <c r="I16" s="40">
        <f t="shared" si="1"/>
        <v>-1689883.9213237236</v>
      </c>
      <c r="K16" s="38">
        <v>0.18</v>
      </c>
      <c r="L16" s="38">
        <f t="shared" si="3"/>
        <v>0.37437901721057154</v>
      </c>
      <c r="M16">
        <f t="shared" si="4"/>
        <v>-0.44755664611783663</v>
      </c>
      <c r="N16">
        <f t="shared" si="2"/>
        <v>0.32723659881767653</v>
      </c>
      <c r="Q16" s="35">
        <f t="shared" si="7"/>
        <v>2.8886574706084467E-2</v>
      </c>
    </row>
    <row r="17" spans="4:17" x14ac:dyDescent="0.25">
      <c r="D17" s="13">
        <v>15</v>
      </c>
      <c r="E17" s="18">
        <v>46.530334504925413</v>
      </c>
      <c r="F17" s="37">
        <f t="shared" si="5"/>
        <v>51945.172077754993</v>
      </c>
      <c r="G17" s="39">
        <f t="shared" si="8"/>
        <v>-0.48242255843551979</v>
      </c>
      <c r="H17" s="40">
        <f t="shared" si="6"/>
        <v>31475.28996087956</v>
      </c>
      <c r="I17" s="40">
        <f t="shared" si="1"/>
        <v>-1412610.5984414916</v>
      </c>
      <c r="K17" s="38">
        <v>0.17499999999999999</v>
      </c>
      <c r="L17" s="38">
        <f t="shared" si="3"/>
        <v>0.3147528996087956</v>
      </c>
      <c r="M17">
        <f t="shared" si="4"/>
        <v>-0.60792156241563111</v>
      </c>
      <c r="N17">
        <f t="shared" si="2"/>
        <v>0.2716197489098251</v>
      </c>
      <c r="Q17" s="35">
        <f t="shared" si="7"/>
        <v>-1.9453889482889064E-2</v>
      </c>
    </row>
    <row r="18" spans="4:17" x14ac:dyDescent="0.25">
      <c r="D18" s="13">
        <v>16</v>
      </c>
      <c r="E18" s="18">
        <v>45.97499390421887</v>
      </c>
      <c r="F18" s="37">
        <f t="shared" si="5"/>
        <v>34324.397520334867</v>
      </c>
      <c r="G18" s="39">
        <f t="shared" si="8"/>
        <v>-0.58916242709558164</v>
      </c>
      <c r="H18" s="40">
        <f t="shared" si="6"/>
        <v>27787.615959781066</v>
      </c>
      <c r="I18" s="40">
        <f t="shared" si="1"/>
        <v>-1243211.0768433746</v>
      </c>
      <c r="K18" s="38">
        <v>0.17</v>
      </c>
      <c r="L18" s="38">
        <f t="shared" si="3"/>
        <v>0.27787615959781065</v>
      </c>
      <c r="M18">
        <f t="shared" si="4"/>
        <v>-0.7128555958641114</v>
      </c>
      <c r="N18">
        <f t="shared" si="2"/>
        <v>0.23796755938748715</v>
      </c>
      <c r="Q18" s="35">
        <f t="shared" si="7"/>
        <v>-1.2006816945615562E-2</v>
      </c>
    </row>
    <row r="19" spans="4:17" x14ac:dyDescent="0.25">
      <c r="D19" s="13">
        <v>17</v>
      </c>
      <c r="E19" s="18">
        <v>47.40840026864494</v>
      </c>
      <c r="F19" s="37">
        <f t="shared" si="5"/>
        <v>74031.015765365475</v>
      </c>
      <c r="G19" s="39">
        <f t="shared" si="8"/>
        <v>-0.3487475026142699</v>
      </c>
      <c r="H19" s="40">
        <f t="shared" si="6"/>
        <v>36363.943928522887</v>
      </c>
      <c r="I19" s="40">
        <f t="shared" si="1"/>
        <v>-1649925.3933446086</v>
      </c>
      <c r="K19" s="38">
        <v>0.16500000000000001</v>
      </c>
      <c r="L19" s="38">
        <f t="shared" si="3"/>
        <v>0.3636394392852289</v>
      </c>
      <c r="M19">
        <f t="shared" si="4"/>
        <v>-0.47060807868380927</v>
      </c>
      <c r="N19">
        <f t="shared" si="2"/>
        <v>0.3189603187279641</v>
      </c>
      <c r="Q19" s="35">
        <f t="shared" si="7"/>
        <v>3.0701795955422106E-2</v>
      </c>
    </row>
    <row r="20" spans="4:17" x14ac:dyDescent="0.25">
      <c r="D20" s="13">
        <v>18</v>
      </c>
      <c r="E20" s="18">
        <v>48.826834109534097</v>
      </c>
      <c r="F20" s="37">
        <f t="shared" si="5"/>
        <v>125445.86363254166</v>
      </c>
      <c r="G20" s="39">
        <f t="shared" si="8"/>
        <v>-0.11119137002944135</v>
      </c>
      <c r="H20" s="40">
        <f t="shared" si="6"/>
        <v>45573.229745809018</v>
      </c>
      <c r="I20" s="40">
        <f t="shared" si="1"/>
        <v>-2099750.6650017602</v>
      </c>
      <c r="K20" s="38">
        <v>0.16</v>
      </c>
      <c r="L20" s="38">
        <f t="shared" si="3"/>
        <v>0.45573229745809019</v>
      </c>
      <c r="M20">
        <f t="shared" si="4"/>
        <v>-0.23119137002944135</v>
      </c>
      <c r="N20">
        <f t="shared" si="2"/>
        <v>0.40858306706778846</v>
      </c>
      <c r="Q20" s="35">
        <f t="shared" si="7"/>
        <v>2.9480607167855055E-2</v>
      </c>
    </row>
    <row r="21" spans="4:17" x14ac:dyDescent="0.25">
      <c r="D21" s="13">
        <v>19</v>
      </c>
      <c r="E21" s="18">
        <v>48.490075296250552</v>
      </c>
      <c r="F21" s="37">
        <f t="shared" si="5"/>
        <v>109888.69130024109</v>
      </c>
      <c r="G21" s="39">
        <f t="shared" si="8"/>
        <v>-0.17431920161746267</v>
      </c>
      <c r="H21" s="40">
        <f t="shared" si="6"/>
        <v>43080.730478053229</v>
      </c>
      <c r="I21" s="40">
        <f t="shared" si="1"/>
        <v>-1979099.173398036</v>
      </c>
      <c r="K21" s="38">
        <v>0.155</v>
      </c>
      <c r="L21" s="38">
        <f t="shared" si="3"/>
        <v>0.43080730478053231</v>
      </c>
      <c r="M21">
        <f t="shared" si="4"/>
        <v>-0.29242931972763986</v>
      </c>
      <c r="N21">
        <f t="shared" si="2"/>
        <v>0.38497919677481746</v>
      </c>
      <c r="Q21" s="35">
        <f t="shared" si="7"/>
        <v>-6.9208970883773979E-3</v>
      </c>
    </row>
    <row r="22" spans="4:17" x14ac:dyDescent="0.25">
      <c r="D22" s="13">
        <v>20</v>
      </c>
      <c r="E22" s="18">
        <v>48.779425663980156</v>
      </c>
      <c r="F22" s="37">
        <f t="shared" si="5"/>
        <v>122156.19669296013</v>
      </c>
      <c r="G22" s="39">
        <f t="shared" si="8"/>
        <v>-0.12879293452583992</v>
      </c>
      <c r="H22" s="40">
        <f t="shared" si="6"/>
        <v>44876.074819910507</v>
      </c>
      <c r="I22" s="40">
        <f t="shared" si="1"/>
        <v>-2066872.959076076</v>
      </c>
      <c r="K22" s="38">
        <v>0.15</v>
      </c>
      <c r="L22" s="38">
        <f t="shared" si="3"/>
        <v>0.44876074819910505</v>
      </c>
      <c r="M22">
        <f t="shared" si="4"/>
        <v>-0.24498243491206242</v>
      </c>
      <c r="N22">
        <f t="shared" si="2"/>
        <v>0.40323501596371064</v>
      </c>
      <c r="Q22" s="35">
        <f t="shared" si="7"/>
        <v>5.9494747760777678E-3</v>
      </c>
    </row>
    <row r="23" spans="4:17" x14ac:dyDescent="0.25">
      <c r="D23" s="13">
        <v>21</v>
      </c>
      <c r="E23" s="18">
        <v>47.537936165490201</v>
      </c>
      <c r="F23" s="37">
        <f t="shared" si="5"/>
        <v>66236.323439974774</v>
      </c>
      <c r="G23" s="39">
        <f t="shared" si="8"/>
        <v>-0.35951663700374559</v>
      </c>
      <c r="H23" s="40">
        <f t="shared" si="6"/>
        <v>35960.431705129755</v>
      </c>
      <c r="I23" s="40">
        <f t="shared" si="1"/>
        <v>-1643248.3834419535</v>
      </c>
      <c r="K23" s="38">
        <v>0.14499999999999999</v>
      </c>
      <c r="L23" s="38">
        <f t="shared" si="3"/>
        <v>0.35960431705129753</v>
      </c>
      <c r="M23">
        <f t="shared" si="4"/>
        <v>-0.47375323359170418</v>
      </c>
      <c r="N23">
        <f t="shared" si="2"/>
        <v>0.31783794369554896</v>
      </c>
      <c r="Q23" s="35">
        <f t="shared" si="7"/>
        <v>-2.5780570312223805E-2</v>
      </c>
    </row>
    <row r="24" spans="4:17" x14ac:dyDescent="0.25">
      <c r="D24" s="13">
        <v>22</v>
      </c>
      <c r="E24" s="18">
        <v>49.68253369277322</v>
      </c>
      <c r="F24" s="37">
        <f t="shared" si="5"/>
        <v>143192.64329996583</v>
      </c>
      <c r="G24" s="39">
        <f t="shared" si="8"/>
        <v>2.4324614036636875E-2</v>
      </c>
      <c r="H24" s="40">
        <f t="shared" si="6"/>
        <v>50970.316011218885</v>
      </c>
      <c r="I24" s="40">
        <f t="shared" si="1"/>
        <v>-2389141.799258715</v>
      </c>
      <c r="K24" s="38">
        <v>0.14000000000000001</v>
      </c>
      <c r="L24" s="38">
        <f t="shared" si="3"/>
        <v>0.50970316011218886</v>
      </c>
      <c r="M24">
        <f t="shared" si="4"/>
        <v>-8.7925107566581368E-2</v>
      </c>
      <c r="N24">
        <f t="shared" si="2"/>
        <v>0.4649681004650229</v>
      </c>
      <c r="Q24" s="35">
        <f t="shared" si="7"/>
        <v>4.4125388181774916E-2</v>
      </c>
    </row>
    <row r="25" spans="4:17" x14ac:dyDescent="0.25">
      <c r="D25" s="13">
        <v>23</v>
      </c>
      <c r="E25" s="18">
        <v>48.73649899274497</v>
      </c>
      <c r="F25" s="37">
        <f t="shared" si="5"/>
        <v>94734.029555914109</v>
      </c>
      <c r="G25" s="39">
        <f t="shared" si="8"/>
        <v>-0.15259223434784466</v>
      </c>
      <c r="H25" s="40">
        <f t="shared" si="6"/>
        <v>43935.992468588411</v>
      </c>
      <c r="I25" s="40">
        <f t="shared" si="1"/>
        <v>-2046552.4231346957</v>
      </c>
      <c r="K25" s="38">
        <v>0.13500000000000001</v>
      </c>
      <c r="L25" s="38">
        <f t="shared" si="3"/>
        <v>0.43935992468588408</v>
      </c>
      <c r="M25">
        <f t="shared" si="4"/>
        <v>-0.2628192727730877</v>
      </c>
      <c r="N25">
        <f t="shared" si="2"/>
        <v>0.39634494003719634</v>
      </c>
      <c r="Q25" s="35">
        <f t="shared" si="7"/>
        <v>-1.9225221232571865E-2</v>
      </c>
    </row>
    <row r="26" spans="4:17" x14ac:dyDescent="0.25">
      <c r="D26" s="13">
        <v>24</v>
      </c>
      <c r="E26" s="18">
        <v>45.879068373694302</v>
      </c>
      <c r="F26" s="37">
        <f t="shared" si="5"/>
        <v>-31014.68607762672</v>
      </c>
      <c r="G26" s="39">
        <f t="shared" si="8"/>
        <v>-0.71707961015726296</v>
      </c>
      <c r="H26" s="40">
        <f t="shared" si="6"/>
        <v>23666.248805928459</v>
      </c>
      <c r="I26" s="40">
        <f t="shared" si="1"/>
        <v>-1116800.1331936796</v>
      </c>
      <c r="K26" s="38">
        <v>0.13</v>
      </c>
      <c r="L26" s="38">
        <f t="shared" si="3"/>
        <v>0.23666248805928458</v>
      </c>
      <c r="M26">
        <f t="shared" si="4"/>
        <v>-0.8252461484211826</v>
      </c>
      <c r="N26">
        <f t="shared" si="2"/>
        <v>0.20461592913817264</v>
      </c>
      <c r="Q26" s="35">
        <f t="shared" si="7"/>
        <v>-6.0419229011498654E-2</v>
      </c>
    </row>
    <row r="27" spans="4:17" x14ac:dyDescent="0.25">
      <c r="D27" s="13">
        <v>25</v>
      </c>
      <c r="E27" s="18">
        <v>45.243282322273323</v>
      </c>
      <c r="F27" s="37">
        <f t="shared" si="5"/>
        <v>-46173.042555400651</v>
      </c>
      <c r="G27" s="39">
        <f t="shared" si="8"/>
        <v>-0.86591168135648611</v>
      </c>
      <c r="H27" s="40">
        <f t="shared" si="6"/>
        <v>19326.929833168848</v>
      </c>
      <c r="I27" s="40">
        <f t="shared" si="1"/>
        <v>-920586.7854202257</v>
      </c>
      <c r="K27" s="38">
        <v>0.125</v>
      </c>
      <c r="L27" s="38">
        <f t="shared" si="3"/>
        <v>0.19326929833168849</v>
      </c>
      <c r="M27">
        <f t="shared" si="4"/>
        <v>-0.97197769853446825</v>
      </c>
      <c r="N27">
        <f t="shared" si="2"/>
        <v>0.16553082169810571</v>
      </c>
      <c r="Q27" s="35">
        <f t="shared" si="7"/>
        <v>-1.3954784179020407E-2</v>
      </c>
    </row>
    <row r="28" spans="4:17" x14ac:dyDescent="0.25">
      <c r="D28" s="13">
        <v>26</v>
      </c>
      <c r="E28" s="18">
        <v>45.528372580028908</v>
      </c>
      <c r="F28" s="37">
        <f t="shared" si="5"/>
        <v>-40755.18642926788</v>
      </c>
      <c r="G28" s="39">
        <f t="shared" si="8"/>
        <v>-0.8264509355946541</v>
      </c>
      <c r="H28" s="40">
        <f t="shared" si="6"/>
        <v>20427.416981661194</v>
      </c>
      <c r="I28" s="40">
        <f t="shared" si="1"/>
        <v>-970782.23761794821</v>
      </c>
      <c r="K28" s="38">
        <v>0.12</v>
      </c>
      <c r="L28" s="38">
        <f t="shared" si="3"/>
        <v>0.20427416981661192</v>
      </c>
      <c r="M28">
        <f t="shared" si="4"/>
        <v>-0.9303739840487868</v>
      </c>
      <c r="N28">
        <f t="shared" si="2"/>
        <v>0.176088741887304</v>
      </c>
      <c r="Q28" s="35">
        <f t="shared" si="7"/>
        <v>6.2815026446059186E-3</v>
      </c>
    </row>
    <row r="29" spans="4:17" x14ac:dyDescent="0.25">
      <c r="D29" s="13">
        <v>27</v>
      </c>
      <c r="E29" s="18">
        <v>45.092399092273006</v>
      </c>
      <c r="F29" s="37">
        <f t="shared" si="5"/>
        <v>-49758.081734441679</v>
      </c>
      <c r="G29" s="39">
        <f t="shared" si="8"/>
        <v>-0.94199985256685037</v>
      </c>
      <c r="H29" s="40">
        <f t="shared" si="6"/>
        <v>17309.635769654855</v>
      </c>
      <c r="I29" s="40">
        <f t="shared" si="1"/>
        <v>-830291.08600160258</v>
      </c>
      <c r="K29" s="38">
        <v>0.115</v>
      </c>
      <c r="L29" s="38">
        <f t="shared" si="3"/>
        <v>0.17309635769654855</v>
      </c>
      <c r="M29">
        <f t="shared" si="4"/>
        <v>-1.0437348023137294</v>
      </c>
      <c r="N29">
        <f t="shared" si="2"/>
        <v>0.14830405170313307</v>
      </c>
      <c r="Q29" s="35">
        <f t="shared" si="7"/>
        <v>-9.6220070376893396E-3</v>
      </c>
    </row>
    <row r="30" spans="4:17" x14ac:dyDescent="0.25">
      <c r="D30" s="13">
        <v>28</v>
      </c>
      <c r="E30" s="18">
        <v>45.518328988091753</v>
      </c>
      <c r="F30" s="37">
        <f t="shared" si="5"/>
        <v>-42468.423634606137</v>
      </c>
      <c r="G30" s="39">
        <f t="shared" si="8"/>
        <v>-0.87194996086191923</v>
      </c>
      <c r="H30" s="40">
        <f t="shared" si="6"/>
        <v>19161.783819157652</v>
      </c>
      <c r="I30" s="40">
        <f t="shared" si="1"/>
        <v>-914680.80351371737</v>
      </c>
      <c r="K30" s="38">
        <v>0.11</v>
      </c>
      <c r="L30" s="38">
        <f t="shared" si="3"/>
        <v>0.19161783819157652</v>
      </c>
      <c r="M30">
        <f t="shared" si="4"/>
        <v>-0.97144870457258126</v>
      </c>
      <c r="N30">
        <f t="shared" si="2"/>
        <v>0.16566244251779436</v>
      </c>
      <c r="Q30" s="35">
        <f t="shared" si="7"/>
        <v>9.4013819781340047E-3</v>
      </c>
    </row>
    <row r="31" spans="4:17" x14ac:dyDescent="0.25">
      <c r="D31" s="13">
        <v>29</v>
      </c>
      <c r="E31" s="18">
        <v>46.32054563194599</v>
      </c>
      <c r="F31" s="37">
        <f t="shared" si="5"/>
        <v>-27187.994382848938</v>
      </c>
      <c r="G31" s="39">
        <f t="shared" si="8"/>
        <v>-0.71609502528025037</v>
      </c>
      <c r="H31" s="40">
        <f t="shared" si="6"/>
        <v>23696.633766558261</v>
      </c>
      <c r="I31" s="40">
        <f t="shared" si="1"/>
        <v>-1124829.000090223</v>
      </c>
      <c r="K31" s="38">
        <v>0.105</v>
      </c>
      <c r="L31" s="38">
        <f t="shared" si="3"/>
        <v>0.23696633766558262</v>
      </c>
      <c r="M31">
        <f t="shared" si="4"/>
        <v>-0.81330613575636823</v>
      </c>
      <c r="N31">
        <f t="shared" si="2"/>
        <v>0.20802128002212833</v>
      </c>
      <c r="Q31" s="35">
        <f t="shared" si="7"/>
        <v>1.7470533070405025E-2</v>
      </c>
    </row>
    <row r="32" spans="4:17" x14ac:dyDescent="0.25">
      <c r="D32" s="13">
        <v>30</v>
      </c>
      <c r="E32" s="18">
        <v>47.013610042221558</v>
      </c>
      <c r="F32" s="37">
        <f t="shared" si="5"/>
        <v>-10877.189400254676</v>
      </c>
      <c r="G32" s="39">
        <f t="shared" si="8"/>
        <v>-0.58065605649138741</v>
      </c>
      <c r="H32" s="40">
        <f t="shared" si="6"/>
        <v>28073.614190462169</v>
      </c>
      <c r="I32" s="40">
        <f t="shared" si="1"/>
        <v>-1330719.1394264207</v>
      </c>
      <c r="K32" s="38">
        <v>0.1</v>
      </c>
      <c r="L32" s="38">
        <f t="shared" si="3"/>
        <v>0.28073614190462171</v>
      </c>
      <c r="M32">
        <f t="shared" si="4"/>
        <v>-0.67552438629643874</v>
      </c>
      <c r="N32">
        <f t="shared" si="2"/>
        <v>0.24967133163888555</v>
      </c>
      <c r="Q32" s="35">
        <f t="shared" si="7"/>
        <v>1.4851522343391377E-2</v>
      </c>
    </row>
    <row r="33" spans="4:17" x14ac:dyDescent="0.25">
      <c r="D33" s="13">
        <v>31</v>
      </c>
      <c r="E33" s="18">
        <v>45.794580373871192</v>
      </c>
      <c r="F33" s="37">
        <f t="shared" si="5"/>
        <v>-45232.836564010096</v>
      </c>
      <c r="G33" s="39">
        <f t="shared" si="8"/>
        <v>-0.88337408571985188</v>
      </c>
      <c r="H33" s="40">
        <f t="shared" si="6"/>
        <v>18851.709370674995</v>
      </c>
      <c r="I33" s="40">
        <f t="shared" si="1"/>
        <v>-908538.95652424684</v>
      </c>
      <c r="K33" s="38">
        <v>9.5000000000000001E-2</v>
      </c>
      <c r="L33" s="38">
        <f t="shared" si="3"/>
        <v>0.18851709370674996</v>
      </c>
      <c r="M33">
        <f t="shared" si="4"/>
        <v>-0.97584029576438658</v>
      </c>
      <c r="N33">
        <f t="shared" si="2"/>
        <v>0.16457180627130141</v>
      </c>
      <c r="Q33" s="35">
        <f t="shared" si="7"/>
        <v>-2.6271383487545208E-2</v>
      </c>
    </row>
    <row r="34" spans="4:17" x14ac:dyDescent="0.25">
      <c r="D34" s="13">
        <v>32</v>
      </c>
      <c r="E34" s="18">
        <v>43.758910656661776</v>
      </c>
      <c r="F34" s="37">
        <f t="shared" si="5"/>
        <v>-83699.54888602483</v>
      </c>
      <c r="G34" s="39">
        <f t="shared" si="8"/>
        <v>-1.4164193467845603</v>
      </c>
      <c r="H34" s="40">
        <f t="shared" si="6"/>
        <v>7832.6381392621797</v>
      </c>
      <c r="I34" s="40">
        <f t="shared" si="1"/>
        <v>-426447.26142796013</v>
      </c>
      <c r="K34" s="38">
        <v>0.09</v>
      </c>
      <c r="L34" s="38">
        <f t="shared" si="3"/>
        <v>7.8326381392621797E-2</v>
      </c>
      <c r="M34">
        <f t="shared" si="4"/>
        <v>-1.5064193467845604</v>
      </c>
      <c r="N34">
        <f t="shared" si="2"/>
        <v>6.5979778631689939E-2</v>
      </c>
      <c r="Q34" s="35">
        <f t="shared" si="7"/>
        <v>-4.5470487452539565E-2</v>
      </c>
    </row>
    <row r="35" spans="4:17" x14ac:dyDescent="0.25">
      <c r="D35" s="13">
        <v>33</v>
      </c>
      <c r="E35" s="18">
        <v>42.878352000338722</v>
      </c>
      <c r="F35" s="37">
        <f t="shared" si="5"/>
        <v>-90639.293059848438</v>
      </c>
      <c r="G35" s="39">
        <f t="shared" si="8"/>
        <v>-1.6936162385771287</v>
      </c>
      <c r="H35" s="40">
        <f t="shared" si="6"/>
        <v>4516.9115154032661</v>
      </c>
      <c r="I35" s="40">
        <f t="shared" si="1"/>
        <v>-284317.0149716931</v>
      </c>
      <c r="K35" s="38">
        <v>8.5000000000000006E-2</v>
      </c>
      <c r="L35" s="38">
        <f t="shared" si="3"/>
        <v>4.5169115154032664E-2</v>
      </c>
      <c r="M35">
        <f t="shared" si="4"/>
        <v>-1.7810805169998083</v>
      </c>
      <c r="N35">
        <f t="shared" si="2"/>
        <v>3.7449649034629176E-2</v>
      </c>
      <c r="Q35" s="35">
        <f t="shared" si="7"/>
        <v>-2.0328181021470826E-2</v>
      </c>
    </row>
    <row r="36" spans="4:17" x14ac:dyDescent="0.25">
      <c r="D36" s="13">
        <v>34</v>
      </c>
      <c r="E36" s="18">
        <v>41.824473284639133</v>
      </c>
      <c r="F36" s="37">
        <f t="shared" si="5"/>
        <v>-95428.00308975995</v>
      </c>
      <c r="G36" s="39">
        <f t="shared" si="8"/>
        <v>-2.0428474237152447</v>
      </c>
      <c r="H36" s="40">
        <f t="shared" si="6"/>
        <v>2053.3772155380102</v>
      </c>
      <c r="I36" s="40">
        <f t="shared" si="1"/>
        <v>-181309.42358431616</v>
      </c>
      <c r="K36" s="38">
        <v>0.08</v>
      </c>
      <c r="L36" s="38">
        <f t="shared" si="3"/>
        <v>2.05337721553801E-2</v>
      </c>
      <c r="M36">
        <f t="shared" si="4"/>
        <v>-2.1277002374576304</v>
      </c>
      <c r="N36">
        <f t="shared" si="2"/>
        <v>1.668097261224295E-2</v>
      </c>
      <c r="Q36" s="35">
        <f t="shared" si="7"/>
        <v>-2.4885429716541285E-2</v>
      </c>
    </row>
    <row r="37" spans="4:17" x14ac:dyDescent="0.25">
      <c r="D37" s="13">
        <v>35</v>
      </c>
      <c r="E37" s="18">
        <v>44.190814525110447</v>
      </c>
      <c r="F37" s="37">
        <f t="shared" si="5"/>
        <v>-90587.14375132398</v>
      </c>
      <c r="G37" s="39">
        <f t="shared" si="8"/>
        <v>-1.4439312079896067</v>
      </c>
      <c r="H37" s="40">
        <f t="shared" si="6"/>
        <v>7437.9163497559894</v>
      </c>
      <c r="I37" s="40">
        <f t="shared" si="1"/>
        <v>-419274.72561667743</v>
      </c>
      <c r="K37" s="38">
        <v>7.4999999999999997E-2</v>
      </c>
      <c r="L37" s="38">
        <f t="shared" si="3"/>
        <v>7.4379163497559894E-2</v>
      </c>
      <c r="M37">
        <f t="shared" si="4"/>
        <v>-1.5260895916153816</v>
      </c>
      <c r="N37">
        <f t="shared" si="2"/>
        <v>6.3493776923750259E-2</v>
      </c>
      <c r="Q37" s="35">
        <f t="shared" si="7"/>
        <v>5.50352978333839E-2</v>
      </c>
    </row>
    <row r="38" spans="4:17" x14ac:dyDescent="0.25">
      <c r="D38" s="13">
        <v>36</v>
      </c>
      <c r="E38" s="18">
        <v>43.010856575610127</v>
      </c>
      <c r="F38" s="37">
        <f t="shared" si="5"/>
        <v>-99405.501844942162</v>
      </c>
      <c r="G38" s="39">
        <f t="shared" si="8"/>
        <v>-1.8396846608207296</v>
      </c>
      <c r="H38" s="40">
        <f t="shared" si="6"/>
        <v>3290.7273419637831</v>
      </c>
      <c r="I38" s="40">
        <f t="shared" si="1"/>
        <v>-240942.50357958517</v>
      </c>
      <c r="K38" s="38">
        <v>7.0000000000000007E-2</v>
      </c>
      <c r="L38" s="38">
        <f t="shared" si="3"/>
        <v>3.2907273419637832E-2</v>
      </c>
      <c r="M38">
        <f t="shared" si="4"/>
        <v>-1.9190572001526673</v>
      </c>
      <c r="N38">
        <f t="shared" si="2"/>
        <v>2.7488547616563823E-2</v>
      </c>
      <c r="Q38" s="35">
        <f t="shared" si="7"/>
        <v>-2.706438898411756E-2</v>
      </c>
    </row>
    <row r="39" spans="4:17" x14ac:dyDescent="0.25">
      <c r="D39" s="13">
        <v>37</v>
      </c>
      <c r="E39" s="18">
        <v>43.463192149142948</v>
      </c>
      <c r="F39" s="37">
        <f t="shared" si="5"/>
        <v>-97941.084260485484</v>
      </c>
      <c r="G39" s="39">
        <f t="shared" si="8"/>
        <v>-1.7765975420119282</v>
      </c>
      <c r="H39" s="40">
        <f t="shared" si="6"/>
        <v>3781.7240178144571</v>
      </c>
      <c r="I39" s="40">
        <f t="shared" si="1"/>
        <v>-262306.8819017841</v>
      </c>
      <c r="K39" s="38">
        <v>6.5000000000000002E-2</v>
      </c>
      <c r="L39" s="38">
        <f t="shared" si="3"/>
        <v>3.7817240178144571E-2</v>
      </c>
      <c r="M39">
        <f t="shared" si="4"/>
        <v>-1.8530828347158199</v>
      </c>
      <c r="N39">
        <f t="shared" si="2"/>
        <v>3.1935243374996279E-2</v>
      </c>
      <c r="Q39" s="35">
        <f t="shared" si="7"/>
        <v>1.0461860081559138E-2</v>
      </c>
    </row>
    <row r="40" spans="4:17" x14ac:dyDescent="0.25">
      <c r="D40" s="13">
        <v>38</v>
      </c>
      <c r="E40" s="18">
        <v>45.094414345753684</v>
      </c>
      <c r="F40" s="37">
        <f t="shared" si="5"/>
        <v>-91798.484100938935</v>
      </c>
      <c r="G40" s="39">
        <f t="shared" si="8"/>
        <v>-1.3521811676508255</v>
      </c>
      <c r="H40" s="40">
        <f t="shared" si="6"/>
        <v>8815.8683323839487</v>
      </c>
      <c r="I40" s="40">
        <f t="shared" si="1"/>
        <v>-489344.90349906927</v>
      </c>
      <c r="K40" s="38">
        <v>0.06</v>
      </c>
      <c r="L40" s="38">
        <f t="shared" si="3"/>
        <v>8.8158683323839485E-2</v>
      </c>
      <c r="M40">
        <f t="shared" si="4"/>
        <v>-1.4256658599343208</v>
      </c>
      <c r="N40">
        <f t="shared" si="2"/>
        <v>7.6982407816133677E-2</v>
      </c>
      <c r="Q40" s="35">
        <f t="shared" si="7"/>
        <v>3.6843966001438577E-2</v>
      </c>
    </row>
    <row r="41" spans="4:17" x14ac:dyDescent="0.25">
      <c r="D41" s="13">
        <v>39</v>
      </c>
      <c r="E41" s="18">
        <v>44.286174592544477</v>
      </c>
      <c r="F41" s="37">
        <f t="shared" si="5"/>
        <v>-98972.75628338581</v>
      </c>
      <c r="G41" s="39">
        <f t="shared" si="8"/>
        <v>-1.673987539184526</v>
      </c>
      <c r="H41" s="40">
        <f t="shared" si="6"/>
        <v>4706.6524164338362</v>
      </c>
      <c r="I41" s="40">
        <f t="shared" si="1"/>
        <v>-307412.38694399601</v>
      </c>
      <c r="K41" s="38">
        <v>5.5E-2</v>
      </c>
      <c r="L41" s="38">
        <f t="shared" si="3"/>
        <v>4.7066524164338361E-2</v>
      </c>
      <c r="M41">
        <f t="shared" si="4"/>
        <v>-1.7443437755818776</v>
      </c>
      <c r="N41">
        <f t="shared" si="2"/>
        <v>4.0549581335535469E-2</v>
      </c>
      <c r="Q41" s="35">
        <f t="shared" si="7"/>
        <v>-1.8085846016728802E-2</v>
      </c>
    </row>
    <row r="42" spans="4:17" x14ac:dyDescent="0.25">
      <c r="D42" s="13">
        <v>40</v>
      </c>
      <c r="E42" s="18">
        <v>43.434827518387614</v>
      </c>
      <c r="F42" s="37">
        <f t="shared" si="5"/>
        <v>-103010.49382299767</v>
      </c>
      <c r="G42" s="39">
        <f t="shared" si="8"/>
        <v>-2.0498990510142443</v>
      </c>
      <c r="H42" s="40">
        <f t="shared" si="6"/>
        <v>2018.7141420175053</v>
      </c>
      <c r="I42" s="40">
        <f t="shared" si="1"/>
        <v>-190692.99439045787</v>
      </c>
      <c r="K42" s="38">
        <v>0.05</v>
      </c>
      <c r="L42" s="38">
        <f t="shared" si="3"/>
        <v>2.0187141420175053E-2</v>
      </c>
      <c r="M42">
        <f t="shared" si="4"/>
        <v>-2.1169810903392379</v>
      </c>
      <c r="N42">
        <f t="shared" si="2"/>
        <v>1.7130726343197455E-2</v>
      </c>
      <c r="Q42" s="35">
        <f t="shared" si="7"/>
        <v>-1.9410945719317674E-2</v>
      </c>
    </row>
    <row r="43" spans="4:17" x14ac:dyDescent="0.25">
      <c r="D43" s="13">
        <v>41</v>
      </c>
      <c r="E43" s="18">
        <v>44.316475153360322</v>
      </c>
      <c r="F43" s="37">
        <f t="shared" si="5"/>
        <v>-101249.76952693779</v>
      </c>
      <c r="G43" s="39">
        <f t="shared" si="8"/>
        <v>-1.8501291463381713</v>
      </c>
      <c r="H43" s="40">
        <f t="shared" si="6"/>
        <v>3214.746899272714</v>
      </c>
      <c r="I43" s="40">
        <f t="shared" si="1"/>
        <v>-243716.02061289916</v>
      </c>
      <c r="K43" s="38">
        <v>4.4999999999999998E-2</v>
      </c>
      <c r="L43" s="38">
        <f t="shared" si="3"/>
        <v>3.2147468992727142E-2</v>
      </c>
      <c r="M43">
        <f t="shared" si="4"/>
        <v>-1.9137687566449606</v>
      </c>
      <c r="N43">
        <f t="shared" si="2"/>
        <v>2.7824854631598801E-2</v>
      </c>
      <c r="Q43" s="35">
        <f t="shared" si="7"/>
        <v>2.0094910862210824E-2</v>
      </c>
    </row>
    <row r="44" spans="4:17" x14ac:dyDescent="0.25">
      <c r="D44" s="13">
        <v>42</v>
      </c>
      <c r="E44" s="18">
        <v>45.164168714234002</v>
      </c>
      <c r="F44" s="37">
        <f t="shared" si="5"/>
        <v>-98549.022101267707</v>
      </c>
      <c r="G44" s="39">
        <f t="shared" si="8"/>
        <v>-1.651982675430026</v>
      </c>
      <c r="H44" s="40">
        <f t="shared" si="6"/>
        <v>4926.9041304491193</v>
      </c>
      <c r="I44" s="40">
        <f t="shared" si="1"/>
        <v>-321068.55148772814</v>
      </c>
      <c r="K44" s="38">
        <v>0.04</v>
      </c>
      <c r="L44" s="38">
        <f t="shared" si="3"/>
        <v>4.9269041304491189E-2</v>
      </c>
      <c r="M44">
        <f t="shared" si="4"/>
        <v>-1.711982675430026</v>
      </c>
      <c r="N44">
        <f t="shared" si="2"/>
        <v>4.3449930596624206E-2</v>
      </c>
      <c r="Q44" s="35">
        <f t="shared" si="7"/>
        <v>1.8947537364392364E-2</v>
      </c>
    </row>
    <row r="45" spans="4:17" x14ac:dyDescent="0.25">
      <c r="D45" s="13">
        <v>43</v>
      </c>
      <c r="E45" s="18">
        <v>44.765752811333975</v>
      </c>
      <c r="F45" s="37">
        <f t="shared" si="5"/>
        <v>-100544.08751944752</v>
      </c>
      <c r="G45" s="39">
        <f t="shared" si="8"/>
        <v>-1.9297082072701364</v>
      </c>
      <c r="H45" s="40">
        <f t="shared" si="6"/>
        <v>2682.1501235054475</v>
      </c>
      <c r="I45" s="40">
        <f t="shared" si="1"/>
        <v>-220612.55695118126</v>
      </c>
      <c r="K45" s="38">
        <v>3.5000000000000003E-2</v>
      </c>
      <c r="L45" s="38">
        <f t="shared" si="3"/>
        <v>2.6821501235054473E-2</v>
      </c>
      <c r="M45">
        <f t="shared" si="4"/>
        <v>-1.9858330680717455</v>
      </c>
      <c r="N45">
        <f t="shared" si="2"/>
        <v>2.3525931325363087E-2</v>
      </c>
      <c r="Q45" s="35">
        <f t="shared" si="7"/>
        <v>-8.8606439949576732E-3</v>
      </c>
    </row>
    <row r="46" spans="4:17" x14ac:dyDescent="0.25">
      <c r="D46" s="13">
        <v>44</v>
      </c>
      <c r="E46" s="18">
        <v>43.460748451876036</v>
      </c>
      <c r="F46" s="37">
        <f t="shared" si="5"/>
        <v>-104066.36748213746</v>
      </c>
      <c r="G46" s="39">
        <f t="shared" si="8"/>
        <v>-2.6599452417511302</v>
      </c>
      <c r="H46" s="40">
        <f t="shared" si="6"/>
        <v>390.76678242010536</v>
      </c>
      <c r="I46" s="40">
        <f t="shared" si="1"/>
        <v>-121049.38431624664</v>
      </c>
      <c r="K46" s="38">
        <v>0.03</v>
      </c>
      <c r="L46" s="38">
        <f t="shared" si="3"/>
        <v>3.9076678242010538E-3</v>
      </c>
      <c r="M46">
        <f t="shared" si="4"/>
        <v>-2.7119067659781964</v>
      </c>
      <c r="N46">
        <f t="shared" si="2"/>
        <v>3.3448703032711779E-3</v>
      </c>
      <c r="Q46" s="35">
        <f t="shared" si="7"/>
        <v>-2.9585204601161763E-2</v>
      </c>
    </row>
    <row r="47" spans="4:17" x14ac:dyDescent="0.25">
      <c r="D47" s="13">
        <v>45</v>
      </c>
      <c r="E47" s="18">
        <v>43.641488833844775</v>
      </c>
      <c r="F47" s="37">
        <f t="shared" si="5"/>
        <v>-104007.84568832087</v>
      </c>
      <c r="G47" s="39">
        <f t="shared" si="8"/>
        <v>-2.8331842471658266</v>
      </c>
      <c r="H47" s="40">
        <f t="shared" si="6"/>
        <v>230.43406884246912</v>
      </c>
      <c r="I47" s="40">
        <f t="shared" si="1"/>
        <v>-114064.3315306469</v>
      </c>
      <c r="K47" s="38">
        <v>2.5000000000000001E-2</v>
      </c>
      <c r="L47" s="38">
        <f t="shared" si="3"/>
        <v>2.3043406884246912E-3</v>
      </c>
      <c r="M47">
        <f t="shared" si="4"/>
        <v>-2.8806184120683525</v>
      </c>
      <c r="N47">
        <f t="shared" si="2"/>
        <v>1.9844791705071778E-3</v>
      </c>
      <c r="P47" s="19"/>
      <c r="Q47" s="35">
        <f t="shared" si="7"/>
        <v>4.1500803426193222E-3</v>
      </c>
    </row>
    <row r="48" spans="4:17" x14ac:dyDescent="0.25">
      <c r="D48" s="13">
        <v>46</v>
      </c>
      <c r="E48" s="18">
        <v>42.177718668782376</v>
      </c>
      <c r="F48" s="37">
        <f t="shared" si="5"/>
        <v>-104356.55520680014</v>
      </c>
      <c r="G48" s="39">
        <f t="shared" si="8"/>
        <v>-3.979382886870976</v>
      </c>
      <c r="H48" s="40">
        <f t="shared" si="6"/>
        <v>3.4547193090266459</v>
      </c>
      <c r="I48" s="40">
        <f t="shared" si="1"/>
        <v>-104502.26738589587</v>
      </c>
      <c r="K48" s="38">
        <v>0.02</v>
      </c>
      <c r="L48" s="38">
        <f t="shared" si="3"/>
        <v>3.4547193090266459E-5</v>
      </c>
      <c r="M48">
        <f t="shared" si="4"/>
        <v>-4.0218092937421686</v>
      </c>
      <c r="N48">
        <f t="shared" si="2"/>
        <v>2.8876404559502495E-5</v>
      </c>
      <c r="Q48" s="35">
        <f t="shared" si="7"/>
        <v>-3.4116188675348269E-2</v>
      </c>
    </row>
    <row r="49" spans="4:17" x14ac:dyDescent="0.25">
      <c r="D49" s="13">
        <v>47</v>
      </c>
      <c r="E49" s="18">
        <v>41.421211584057616</v>
      </c>
      <c r="F49" s="37">
        <f t="shared" si="5"/>
        <v>-104369.6194757005</v>
      </c>
      <c r="G49" s="39">
        <f t="shared" si="8"/>
        <v>-5.0964328184627528</v>
      </c>
      <c r="H49" s="40">
        <f t="shared" si="6"/>
        <v>1.7305665563465533E-2</v>
      </c>
      <c r="I49" s="40">
        <f t="shared" si="1"/>
        <v>-104370.33629733541</v>
      </c>
      <c r="K49" s="38">
        <v>1.4999999999999999E-2</v>
      </c>
      <c r="L49" s="38">
        <f t="shared" si="3"/>
        <v>1.7305665563465532E-7</v>
      </c>
      <c r="M49">
        <f t="shared" si="4"/>
        <v>-5.1331751646045003</v>
      </c>
      <c r="N49">
        <f t="shared" si="2"/>
        <v>1.4244726499797153E-7</v>
      </c>
      <c r="Q49" s="35">
        <f t="shared" si="7"/>
        <v>-1.809898124947118E-2</v>
      </c>
    </row>
    <row r="50" spans="4:17" x14ac:dyDescent="0.25">
      <c r="D50" s="13">
        <v>48</v>
      </c>
      <c r="E50" s="18">
        <v>42.651675290446697</v>
      </c>
      <c r="F50" s="37">
        <f t="shared" si="5"/>
        <v>-104380.03573720594</v>
      </c>
      <c r="G50" s="39">
        <f t="shared" si="8"/>
        <v>-5.2768817432771771</v>
      </c>
      <c r="H50" s="40">
        <f t="shared" si="6"/>
        <v>6.5700310517112235E-3</v>
      </c>
      <c r="I50" s="40">
        <f t="shared" si="1"/>
        <v>-104380.315960037</v>
      </c>
      <c r="K50" s="38">
        <v>0.01</v>
      </c>
      <c r="L50" s="38">
        <f t="shared" si="3"/>
        <v>6.5700310517112237E-8</v>
      </c>
      <c r="M50">
        <f t="shared" si="4"/>
        <v>-5.3068817432771773</v>
      </c>
      <c r="N50">
        <f t="shared" si="2"/>
        <v>5.5758236892345026E-8</v>
      </c>
      <c r="Q50" s="35">
        <f t="shared" si="7"/>
        <v>2.9273446405805981E-2</v>
      </c>
    </row>
    <row r="51" spans="4:17" x14ac:dyDescent="0.25">
      <c r="D51" s="13">
        <v>49</v>
      </c>
      <c r="E51" s="18">
        <v>43.143706721705264</v>
      </c>
      <c r="F51" s="37">
        <f t="shared" si="5"/>
        <v>-104390.47105805915</v>
      </c>
      <c r="G51" s="39">
        <f t="shared" si="8"/>
        <v>-6.9372570495685251</v>
      </c>
      <c r="H51" s="40">
        <f t="shared" si="6"/>
        <v>1.9989301023389845E-7</v>
      </c>
      <c r="I51" s="40">
        <f t="shared" si="1"/>
        <v>-104390.47106668327</v>
      </c>
      <c r="K51" s="38">
        <v>5.0000000000000001E-3</v>
      </c>
      <c r="L51" s="38">
        <f t="shared" si="3"/>
        <v>1.9989301023389844E-12</v>
      </c>
      <c r="M51">
        <f t="shared" si="4"/>
        <v>-6.9584702530041218</v>
      </c>
      <c r="N51">
        <f t="shared" si="2"/>
        <v>1.7199367642752017E-12</v>
      </c>
      <c r="Q51" s="35">
        <f t="shared" si="7"/>
        <v>1.14700072207925E-2</v>
      </c>
    </row>
    <row r="52" spans="4:17" x14ac:dyDescent="0.25">
      <c r="D52" s="13">
        <v>50</v>
      </c>
      <c r="E52" s="18">
        <v>42.999051889622208</v>
      </c>
      <c r="F52" s="37">
        <f>F51+H51*(E52-E51)+I51*(EXP(0.02*1/200)-1)</f>
        <v>-104400.91062716449</v>
      </c>
      <c r="G52" s="17"/>
      <c r="H52" s="23"/>
      <c r="K52">
        <v>0</v>
      </c>
      <c r="Q52" s="35">
        <f t="shared" si="7"/>
        <v>-3.3584939786988066E-3</v>
      </c>
    </row>
    <row r="53" spans="4:17" x14ac:dyDescent="0.25">
      <c r="D53" s="13"/>
    </row>
  </sheetData>
  <mergeCells count="1">
    <mergeCell ref="A1:B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Equities in Practice</vt:lpstr>
      <vt:lpstr>Find_Vol</vt:lpstr>
      <vt:lpstr>DemoSheet</vt:lpstr>
      <vt:lpstr>StockPricePaths</vt:lpstr>
      <vt:lpstr>Stock Path 1</vt:lpstr>
      <vt:lpstr>Stock Path 2</vt:lpstr>
      <vt:lpstr>Stock Path 3</vt:lpstr>
      <vt:lpstr>Stock Path 4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Breckwoldt</cp:lastModifiedBy>
  <dcterms:created xsi:type="dcterms:W3CDTF">2013-04-13T14:31:31Z</dcterms:created>
  <dcterms:modified xsi:type="dcterms:W3CDTF">2023-04-16T20:05:16Z</dcterms:modified>
</cp:coreProperties>
</file>