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MATLAB_Work\ContamXJR_MatLab\contam-airnet\"/>
    </mc:Choice>
  </mc:AlternateContent>
  <xr:revisionPtr revIDLastSave="0" documentId="13_ncr:1_{82F151A7-7033-45F8-A26E-00A44937DB09}" xr6:coauthVersionLast="47" xr6:coauthVersionMax="47" xr10:uidLastSave="{00000000-0000-0000-0000-000000000000}"/>
  <bookViews>
    <workbookView xWindow="28680" yWindow="1755" windowWidth="29040" windowHeight="15720" activeTab="1" xr2:uid="{00000000-000D-0000-FFFF-FFFF00000000}"/>
  </bookViews>
  <sheets>
    <sheet name="CONTAM" sheetId="8" r:id="rId1"/>
    <sheet name="MATLAB" sheetId="7" r:id="rId2"/>
    <sheet name="AIRNET" sheetId="9" r:id="rId3"/>
    <sheet name="Info" sheetId="2" r:id="rId4"/>
  </sheets>
  <definedNames>
    <definedName name="Do" localSheetId="2">AIRNET!#REF!</definedName>
    <definedName name="Do" localSheetId="0">CONTAM!#REF!</definedName>
    <definedName name="Do">#REF!</definedName>
    <definedName name="T" localSheetId="2">AIRNET!#REF!</definedName>
    <definedName name="T" localSheetId="0">CONTAM!#REF!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7" l="1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R38" i="7"/>
  <c r="R37" i="7"/>
  <c r="R36" i="7"/>
  <c r="R35" i="7"/>
  <c r="R34" i="7"/>
  <c r="R33" i="7"/>
  <c r="R32" i="7"/>
  <c r="R31" i="7"/>
  <c r="R30" i="7"/>
  <c r="R29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Q24" i="8"/>
  <c r="L6" i="9"/>
  <c r="G21" i="9" s="1"/>
  <c r="H22" i="9"/>
  <c r="E22" i="9"/>
  <c r="C22" i="9"/>
  <c r="I22" i="9" s="1"/>
  <c r="I21" i="9"/>
  <c r="H21" i="9"/>
  <c r="L13" i="9" s="1"/>
  <c r="L16" i="9" s="1"/>
  <c r="E21" i="9"/>
  <c r="C21" i="9"/>
  <c r="H20" i="9"/>
  <c r="E20" i="9"/>
  <c r="C20" i="9"/>
  <c r="I20" i="9" s="1"/>
  <c r="I19" i="9"/>
  <c r="M13" i="9" s="1"/>
  <c r="H19" i="9"/>
  <c r="E19" i="9"/>
  <c r="C19" i="9"/>
  <c r="H18" i="9"/>
  <c r="E18" i="9"/>
  <c r="C18" i="9"/>
  <c r="I18" i="9" s="1"/>
  <c r="M16" i="9" s="1"/>
  <c r="H17" i="9"/>
  <c r="E17" i="9"/>
  <c r="C17" i="9"/>
  <c r="I17" i="9" s="1"/>
  <c r="I16" i="9"/>
  <c r="H16" i="9"/>
  <c r="E16" i="9"/>
  <c r="C16" i="9"/>
  <c r="H15" i="9"/>
  <c r="E15" i="9"/>
  <c r="C15" i="9"/>
  <c r="I15" i="9" s="1"/>
  <c r="H14" i="9"/>
  <c r="E14" i="9"/>
  <c r="C14" i="9"/>
  <c r="I14" i="9" s="1"/>
  <c r="I13" i="9"/>
  <c r="H13" i="9"/>
  <c r="E13" i="9"/>
  <c r="C13" i="9"/>
  <c r="H12" i="9"/>
  <c r="L15" i="9" s="1"/>
  <c r="E12" i="9"/>
  <c r="C12" i="9"/>
  <c r="I12" i="9" s="1"/>
  <c r="H11" i="9"/>
  <c r="E11" i="9"/>
  <c r="C11" i="9"/>
  <c r="I11" i="9" s="1"/>
  <c r="I10" i="9"/>
  <c r="H10" i="9"/>
  <c r="E10" i="9"/>
  <c r="C10" i="9"/>
  <c r="H9" i="9"/>
  <c r="E9" i="9"/>
  <c r="C9" i="9"/>
  <c r="I9" i="9" s="1"/>
  <c r="I8" i="9"/>
  <c r="M12" i="9" s="1"/>
  <c r="H8" i="9"/>
  <c r="L12" i="9" s="1"/>
  <c r="E8" i="9"/>
  <c r="C8" i="9"/>
  <c r="H7" i="9"/>
  <c r="E7" i="9"/>
  <c r="C7" i="9"/>
  <c r="I7" i="9" s="1"/>
  <c r="H6" i="9"/>
  <c r="L11" i="9" s="1"/>
  <c r="E6" i="9"/>
  <c r="C6" i="9"/>
  <c r="I6" i="9" s="1"/>
  <c r="M11" i="9" s="1"/>
  <c r="H5" i="9"/>
  <c r="E5" i="9"/>
  <c r="C5" i="9"/>
  <c r="I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L4" i="9"/>
  <c r="I4" i="9"/>
  <c r="H4" i="9"/>
  <c r="E4" i="9"/>
  <c r="C4" i="9"/>
  <c r="A4" i="9"/>
  <c r="L3" i="9"/>
  <c r="H3" i="9"/>
  <c r="L10" i="9" s="1"/>
  <c r="E3" i="9"/>
  <c r="C3" i="9"/>
  <c r="I3" i="9" s="1"/>
  <c r="G22" i="8"/>
  <c r="C22" i="8"/>
  <c r="H22" i="8" s="1"/>
  <c r="G21" i="8"/>
  <c r="K13" i="8" s="1"/>
  <c r="C21" i="8"/>
  <c r="G20" i="8"/>
  <c r="C20" i="8"/>
  <c r="H20" i="8" s="1"/>
  <c r="G19" i="8"/>
  <c r="C19" i="8"/>
  <c r="G18" i="8"/>
  <c r="C18" i="8"/>
  <c r="H18" i="8" s="1"/>
  <c r="G17" i="8"/>
  <c r="C17" i="8"/>
  <c r="G16" i="8"/>
  <c r="C16" i="8"/>
  <c r="H16" i="8" s="1"/>
  <c r="G15" i="8"/>
  <c r="C15" i="8"/>
  <c r="G14" i="8"/>
  <c r="C14" i="8"/>
  <c r="H14" i="8" s="1"/>
  <c r="G13" i="8"/>
  <c r="C13" i="8"/>
  <c r="G12" i="8"/>
  <c r="C12" i="8"/>
  <c r="H12" i="8" s="1"/>
  <c r="G11" i="8"/>
  <c r="C11" i="8"/>
  <c r="G10" i="8"/>
  <c r="C10" i="8"/>
  <c r="H10" i="8" s="1"/>
  <c r="G9" i="8"/>
  <c r="C9" i="8"/>
  <c r="G8" i="8"/>
  <c r="C8" i="8"/>
  <c r="H8" i="8" s="1"/>
  <c r="G7" i="8"/>
  <c r="C7" i="8"/>
  <c r="G6" i="8"/>
  <c r="K11" i="8" s="1"/>
  <c r="C6" i="8"/>
  <c r="H6" i="8" s="1"/>
  <c r="G5" i="8"/>
  <c r="C5" i="8"/>
  <c r="G4" i="8"/>
  <c r="C4" i="8"/>
  <c r="H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G3" i="8"/>
  <c r="C3" i="8"/>
  <c r="K3" i="8"/>
  <c r="K4" i="8" s="1"/>
  <c r="C5" i="2"/>
  <c r="C6" i="2" s="1"/>
  <c r="C7" i="2" s="1"/>
  <c r="T19" i="7" l="1"/>
  <c r="T20" i="7" s="1"/>
  <c r="T10" i="7"/>
  <c r="T11" i="7" s="1"/>
  <c r="T22" i="7"/>
  <c r="T23" i="7" s="1"/>
  <c r="T4" i="7"/>
  <c r="T5" i="7" s="1"/>
  <c r="T7" i="7"/>
  <c r="T8" i="7" s="1"/>
  <c r="T16" i="7"/>
  <c r="T17" i="7" s="1"/>
  <c r="T13" i="7"/>
  <c r="T14" i="7" s="1"/>
  <c r="K16" i="8"/>
  <c r="K15" i="8"/>
  <c r="K12" i="8"/>
  <c r="K10" i="8"/>
  <c r="L18" i="9"/>
  <c r="L20" i="9" s="1"/>
  <c r="L22" i="9" s="1"/>
  <c r="R23" i="9" s="1"/>
  <c r="M15" i="9"/>
  <c r="M10" i="9"/>
  <c r="M14" i="9" s="1"/>
  <c r="M17" i="9" s="1"/>
  <c r="M18" i="9" s="1"/>
  <c r="L21" i="9" s="1"/>
  <c r="L23" i="9" s="1"/>
  <c r="L14" i="9"/>
  <c r="L17" i="9" s="1"/>
  <c r="G5" i="9"/>
  <c r="G12" i="9"/>
  <c r="G15" i="9"/>
  <c r="G18" i="9"/>
  <c r="G3" i="9"/>
  <c r="G7" i="9"/>
  <c r="G9" i="9"/>
  <c r="G20" i="9"/>
  <c r="G11" i="9"/>
  <c r="G14" i="9"/>
  <c r="G17" i="9"/>
  <c r="G22" i="9"/>
  <c r="G4" i="9"/>
  <c r="G6" i="9"/>
  <c r="G8" i="9"/>
  <c r="G13" i="9"/>
  <c r="G10" i="9"/>
  <c r="G16" i="9"/>
  <c r="G19" i="9"/>
  <c r="K5" i="8"/>
  <c r="K6" i="8"/>
  <c r="F10" i="8" s="1"/>
  <c r="H9" i="8"/>
  <c r="L12" i="8" s="1"/>
  <c r="H11" i="8"/>
  <c r="H13" i="8"/>
  <c r="H15" i="8"/>
  <c r="H17" i="8"/>
  <c r="H19" i="8"/>
  <c r="L13" i="8" s="1"/>
  <c r="L16" i="8" s="1"/>
  <c r="H21" i="8"/>
  <c r="H7" i="8"/>
  <c r="L11" i="8" s="1"/>
  <c r="H3" i="8"/>
  <c r="L10" i="8" s="1"/>
  <c r="H5" i="8"/>
  <c r="K14" i="8"/>
  <c r="C8" i="2"/>
  <c r="C9" i="2"/>
  <c r="L15" i="8" l="1"/>
  <c r="F6" i="8"/>
  <c r="F8" i="8"/>
  <c r="F7" i="8"/>
  <c r="F4" i="8"/>
  <c r="F5" i="8"/>
  <c r="F11" i="8"/>
  <c r="F21" i="8"/>
  <c r="F17" i="8"/>
  <c r="F16" i="8"/>
  <c r="F19" i="8"/>
  <c r="F12" i="8"/>
  <c r="F15" i="8"/>
  <c r="F3" i="8"/>
  <c r="F22" i="8"/>
  <c r="F13" i="8"/>
  <c r="F20" i="8"/>
  <c r="F9" i="8"/>
  <c r="F18" i="8"/>
  <c r="F14" i="8"/>
  <c r="K17" i="8"/>
  <c r="L14" i="8"/>
  <c r="L17" i="8" l="1"/>
  <c r="L18" i="8"/>
  <c r="K21" i="8" s="1"/>
  <c r="K23" i="8" s="1"/>
  <c r="K18" i="8"/>
  <c r="K20" i="8" s="1"/>
  <c r="K22" i="8" s="1"/>
  <c r="Q23" i="8" s="1"/>
  <c r="Q2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Dols, William Stuart (Fed)</author>
  </authors>
  <commentList>
    <comment ref="P23" authorId="0" shapeId="0" xr:uid="{0BA8F52E-56A2-41A5-AE6B-FDE91E27780E}">
      <text>
        <r>
          <rPr>
            <sz val="9"/>
            <color indexed="81"/>
            <rFont val="Tahoma"/>
            <family val="2"/>
          </rPr>
          <t>Set wind pressure at paths 9 and 15 at 0 and -100 Pa
OR 100 and 0 .</t>
        </r>
      </text>
    </comment>
    <comment ref="H35" authorId="0" shapeId="0" xr:uid="{4A473DD6-545A-4487-9BF5-D1BE40D8754F}">
      <text>
        <r>
          <rPr>
            <sz val="9"/>
            <color indexed="81"/>
            <rFont val="Tahoma"/>
            <family val="2"/>
          </rPr>
          <t>simread only provides 5 digits. ContamW show exact match to 6 digits.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Dols, William Stuart (Fed)</author>
  </authors>
  <commentList>
    <comment ref="Q23" authorId="0" shapeId="0" xr:uid="{5C2DBDE0-611A-4F1B-9194-D26123224789}">
      <text>
        <r>
          <rPr>
            <sz val="9"/>
            <color indexed="81"/>
            <rFont val="Tahoma"/>
            <family val="2"/>
          </rPr>
          <t>Set wind pressure at paths 9 and 15 at 0 and -100 Pa
OR 100 and 0 .</t>
        </r>
      </text>
    </comment>
  </commentList>
</comments>
</file>

<file path=xl/sharedStrings.xml><?xml version="1.0" encoding="utf-8"?>
<sst xmlns="http://schemas.openxmlformats.org/spreadsheetml/2006/main" count="218" uniqueCount="148">
  <si>
    <t>Pstd</t>
  </si>
  <si>
    <t>Pa</t>
  </si>
  <si>
    <t>Tstd</t>
  </si>
  <si>
    <t>K</t>
  </si>
  <si>
    <r>
      <rPr>
        <sz val="12"/>
        <rFont val="Symbol"/>
        <family val="1"/>
        <charset val="2"/>
      </rPr>
      <t>r</t>
    </r>
    <r>
      <rPr>
        <sz val="10"/>
        <rFont val="Arial"/>
        <family val="2"/>
      </rPr>
      <t>std</t>
    </r>
  </si>
  <si>
    <t>kg/m3</t>
  </si>
  <si>
    <t>Rair</t>
  </si>
  <si>
    <t>J/kg-K</t>
  </si>
  <si>
    <t>m</t>
  </si>
  <si>
    <t>kg/m-s</t>
  </si>
  <si>
    <t>C</t>
  </si>
  <si>
    <t>Tn</t>
  </si>
  <si>
    <t>Pbar</t>
  </si>
  <si>
    <t>ORIFICE</t>
  </si>
  <si>
    <t>Q = Cd A sqrt(2 dP / rho)</t>
  </si>
  <si>
    <t xml:space="preserve"> </t>
  </si>
  <si>
    <t>where</t>
  </si>
  <si>
    <t>w = rho Q = Cd A sqrt(2 rho dP)</t>
  </si>
  <si>
    <t xml:space="preserve">     = C sqrt(rho dP) in general powerlaw form</t>
  </si>
  <si>
    <t xml:space="preserve">     C = Cd A sqrt(2)</t>
  </si>
  <si>
    <t>For laminar flow:</t>
  </si>
  <si>
    <t>For turbulent flow:</t>
  </si>
  <si>
    <t>w = rho K dP / mu</t>
  </si>
  <si>
    <t>At the Laminar to Turbulent transition Re:</t>
  </si>
  <si>
    <t>w-turb = w-lam</t>
  </si>
  <si>
    <r>
      <t xml:space="preserve">Re = 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uD/</t>
    </r>
    <r>
      <rPr>
        <sz val="11"/>
        <color theme="1"/>
        <rFont val="Symbol"/>
        <family val="1"/>
        <charset val="2"/>
      </rPr>
      <t>m</t>
    </r>
  </si>
  <si>
    <t>w = mu A Re/D  =&gt; Flow is laminar below this</t>
  </si>
  <si>
    <t>Re-transition</t>
  </si>
  <si>
    <t>w-trans</t>
  </si>
  <si>
    <t>Cd</t>
  </si>
  <si>
    <t>D</t>
  </si>
  <si>
    <t>m2</t>
  </si>
  <si>
    <t>n</t>
  </si>
  <si>
    <t>m2/s</t>
  </si>
  <si>
    <t>Ct</t>
  </si>
  <si>
    <t>kg/s</t>
  </si>
  <si>
    <t>CONTAM 3.0</t>
  </si>
  <si>
    <r>
      <t xml:space="preserve">x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</t>
    </r>
  </si>
  <si>
    <t>w-lam</t>
  </si>
  <si>
    <t>w-turb</t>
  </si>
  <si>
    <r>
      <t>x sqrt(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P)</t>
    </r>
  </si>
  <si>
    <t>Ci</t>
  </si>
  <si>
    <t>Ceff</t>
  </si>
  <si>
    <t>a</t>
  </si>
  <si>
    <t>b</t>
  </si>
  <si>
    <t>c</t>
  </si>
  <si>
    <t>d</t>
  </si>
  <si>
    <t>e</t>
  </si>
  <si>
    <t>f</t>
  </si>
  <si>
    <t>g</t>
  </si>
  <si>
    <t>h</t>
  </si>
  <si>
    <t>i</t>
  </si>
  <si>
    <r>
      <rPr>
        <b/>
        <sz val="12"/>
        <rFont val="Symbol"/>
        <family val="1"/>
        <charset val="2"/>
      </rPr>
      <t>r</t>
    </r>
    <r>
      <rPr>
        <b/>
        <sz val="10"/>
        <rFont val="Arial"/>
        <family val="2"/>
      </rPr>
      <t>n</t>
    </r>
  </si>
  <si>
    <t>Ki</t>
  </si>
  <si>
    <t>CONTAM Path #</t>
  </si>
  <si>
    <t>&lt;--- TURB FLOW EQUATION</t>
  </si>
  <si>
    <t>&lt;--- LAM FLOW EQUATION</t>
  </si>
  <si>
    <t>Keff</t>
  </si>
  <si>
    <r>
      <rPr>
        <b/>
        <sz val="14"/>
        <color theme="1"/>
        <rFont val="Symbol"/>
        <family val="1"/>
        <charset val="2"/>
      </rPr>
      <t>D</t>
    </r>
    <r>
      <rPr>
        <b/>
        <sz val="14"/>
        <color theme="1"/>
        <rFont val="Calibri"/>
        <family val="2"/>
        <scheme val="minor"/>
      </rPr>
      <t>P</t>
    </r>
    <r>
      <rPr>
        <b/>
        <vertAlign val="subscript"/>
        <sz val="14"/>
        <color theme="1"/>
        <rFont val="Calibri"/>
        <family val="2"/>
        <scheme val="minor"/>
      </rPr>
      <t>9-15</t>
    </r>
  </si>
  <si>
    <r>
      <t>w</t>
    </r>
    <r>
      <rPr>
        <b/>
        <vertAlign val="subscript"/>
        <sz val="14"/>
        <color theme="1"/>
        <rFont val="Calibri"/>
        <family val="2"/>
        <scheme val="minor"/>
      </rPr>
      <t>9 &amp; 15</t>
    </r>
  </si>
  <si>
    <t>A [m2]</t>
  </si>
  <si>
    <t xml:space="preserve">   [cm2]</t>
  </si>
  <si>
    <t>Date</t>
  </si>
  <si>
    <t>Time</t>
  </si>
  <si>
    <t>Link</t>
  </si>
  <si>
    <t>dP (Pa)</t>
  </si>
  <si>
    <t>F0 (kg/s)</t>
  </si>
  <si>
    <t>F1 (kg/s)</t>
  </si>
  <si>
    <t>CONTAM 3.4</t>
  </si>
  <si>
    <t>simread results</t>
  </si>
  <si>
    <t>CONTAM 3.4 simread results</t>
  </si>
  <si>
    <t>================================================== RESULTS =====</t>
  </si>
  <si>
    <t>*** Airflows Converged after 20 iterations on norm(f)= 9.55e-07 &lt; feps= 1.000e-06</t>
  </si>
  <si>
    <t>NOTE: Diagram appears best with Courier New font.</t>
  </si>
  <si>
    <t xml:space="preserve">      ┌─────┬───────────┬───────────┬─────┐ </t>
  </si>
  <si>
    <t xml:space="preserve">  1   │    1□          3◊          2□     │ </t>
  </si>
  <si>
    <t xml:space="preserve">      │    4◊           │          5□     │ </t>
  </si>
  <si>
    <t xml:space="preserve"> ambt │    7□ 2,N3     6◊ 3,N4     8□     │ </t>
  </si>
  <si>
    <t xml:space="preserve">      │     ├─────┬─────┼─────┬─────┤     │ </t>
  </si>
  <si>
    <t xml:space="preserve">      │4,N2 │     │     │     │     │     │ </t>
  </si>
  <si>
    <t xml:space="preserve">     9□   10□   11◊   12□   13◊   14□   15□ </t>
  </si>
  <si>
    <t xml:space="preserve">      │     │5,N5 │6,N6 │7,N7 │8,N8 │     │ </t>
  </si>
  <si>
    <t xml:space="preserve">      │     ├─────┴─────┼─────┴─────┤     │ </t>
  </si>
  <si>
    <t xml:space="preserve">      │     │         16□           │9,N11│ </t>
  </si>
  <si>
    <t xml:space="preserve">      │   17◊         18◊         19◊     │ </t>
  </si>
  <si>
    <t xml:space="preserve">      │     │ 10,N9   20□ 11,N10    │     │ </t>
  </si>
  <si>
    <t xml:space="preserve">      └─────┴───────────┴───────────┴─────┘ </t>
  </si>
  <si>
    <t>Zone Results</t>
  </si>
  <si>
    <t>Airflow Path Results</t>
  </si>
  <si>
    <t>Tambt</t>
  </si>
  <si>
    <t>WindSpeed</t>
  </si>
  <si>
    <t>#</t>
  </si>
  <si>
    <t>Name</t>
  </si>
  <si>
    <t>Pressure[Pa]</t>
  </si>
  <si>
    <t>Density[kg/m3]</t>
  </si>
  <si>
    <t>ambt</t>
  </si>
  <si>
    <t>N3</t>
  </si>
  <si>
    <t>N4</t>
  </si>
  <si>
    <t>N2</t>
  </si>
  <si>
    <t>N5</t>
  </si>
  <si>
    <t>N6</t>
  </si>
  <si>
    <t>N7</t>
  </si>
  <si>
    <t>N8</t>
  </si>
  <si>
    <t>N11</t>
  </si>
  <si>
    <t>N9</t>
  </si>
  <si>
    <t>N10</t>
  </si>
  <si>
    <t>mdot[kg/s]</t>
  </si>
  <si>
    <t>dP[Pa]</t>
  </si>
  <si>
    <t>D[kg/m3]</t>
  </si>
  <si>
    <t>Pw[Pa]</t>
  </si>
  <si>
    <t>Ps[Pa]</t>
  </si>
  <si>
    <t>FlowDir</t>
  </si>
  <si>
    <t>2&lt;--4</t>
  </si>
  <si>
    <t>9&lt;--3</t>
  </si>
  <si>
    <t>3&lt;--2</t>
  </si>
  <si>
    <t>4&lt;--1</t>
  </si>
  <si>
    <t>5&lt;--4</t>
  </si>
  <si>
    <t>6&lt;--5</t>
  </si>
  <si>
    <t>7&lt;--6</t>
  </si>
  <si>
    <t>8&lt;--7</t>
  </si>
  <si>
    <t>9&lt;--8</t>
  </si>
  <si>
    <t>9--&gt;1</t>
  </si>
  <si>
    <t>11&lt;--10</t>
  </si>
  <si>
    <t>10&lt;--4</t>
  </si>
  <si>
    <t>9&lt;--11</t>
  </si>
  <si>
    <t>zm</t>
  </si>
  <si>
    <t>zn</t>
  </si>
  <si>
    <t>Tm</t>
  </si>
  <si>
    <t>area[m2]</t>
  </si>
  <si>
    <t>mult</t>
  </si>
  <si>
    <t>Cp</t>
  </si>
  <si>
    <t>Pw</t>
  </si>
  <si>
    <t>Cturb</t>
  </si>
  <si>
    <t>Clam</t>
  </si>
  <si>
    <t>Ht_m</t>
  </si>
  <si>
    <t>Ht_n</t>
  </si>
  <si>
    <t>AIRNET</t>
  </si>
  <si>
    <t>MATLAB RESULTS</t>
  </si>
  <si>
    <t>MATLAB PATH DATA (sorted by AIRNET path IDs)</t>
  </si>
  <si>
    <t>Node</t>
  </si>
  <si>
    <t>T (C)</t>
  </si>
  <si>
    <t>P (Pa)</t>
  </si>
  <si>
    <t>D (kg/m3)</t>
  </si>
  <si>
    <t>WS (m/s)</t>
  </si>
  <si>
    <t>WD (deg)</t>
  </si>
  <si>
    <t>-</t>
  </si>
  <si>
    <t>abs(dP)</t>
  </si>
  <si>
    <t>sum_dP_check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</si>
</sst>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00"/>
    <numFmt numFmtId="165" formatCode="0.00000"/>
    <numFmt numFmtId="166" formatCode="0.000E+00"/>
    <numFmt numFmtId="167" formatCode="0.00000000"/>
    <numFmt numFmtId="168" formatCode="0.0000000"/>
    <numFmt numFmtId="169" formatCode="0.000000"/>
    <numFmt numFmtId="170" formatCode="_(* #,##0.0000_);_(* \(#,##0.0000\);_(* &quot;-&quot;??_);_(@_)"/>
    <numFmt numFmtId="171" formatCode="0.0000E+00"/>
    <numFmt numFmtId="172" formatCode="0.00000E+00"/>
    <numFmt numFmtId="173" formatCode="0.0"/>
    <numFmt numFmtId="174" formatCode="0.000%"/>
    <numFmt numFmtId="175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Symbol"/>
      <family val="1"/>
      <charset val="2"/>
    </font>
    <font>
      <sz val="11"/>
      <color theme="1"/>
      <name val="Symbol"/>
      <family val="1"/>
      <charset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Symbol"/>
      <family val="1"/>
      <charset val="2"/>
    </font>
    <font>
      <b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b/>
      <vertAlign val="subscript"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ourier New"/>
      <family val="3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6" fillId="0" borderId="2" xfId="0" applyFont="1" applyFill="1" applyBorder="1"/>
    <xf numFmtId="0" fontId="0" fillId="0" borderId="3" xfId="0" applyBorder="1"/>
    <xf numFmtId="0" fontId="6" fillId="0" borderId="4" xfId="0" applyFont="1" applyFill="1" applyBorder="1"/>
    <xf numFmtId="0" fontId="6" fillId="0" borderId="5" xfId="0" applyFont="1" applyFill="1" applyBorder="1"/>
    <xf numFmtId="0" fontId="0" fillId="0" borderId="0" xfId="0" applyBorder="1"/>
    <xf numFmtId="0" fontId="6" fillId="0" borderId="6" xfId="0" applyFont="1" applyFill="1" applyBorder="1"/>
    <xf numFmtId="0" fontId="7" fillId="0" borderId="5" xfId="0" applyFont="1" applyBorder="1"/>
    <xf numFmtId="164" fontId="0" fillId="0" borderId="0" xfId="0" applyNumberFormat="1" applyBorder="1"/>
    <xf numFmtId="0" fontId="6" fillId="0" borderId="6" xfId="0" applyFont="1" applyBorder="1"/>
    <xf numFmtId="0" fontId="0" fillId="0" borderId="8" xfId="0" applyBorder="1"/>
    <xf numFmtId="0" fontId="6" fillId="0" borderId="5" xfId="0" applyFont="1" applyBorder="1"/>
    <xf numFmtId="0" fontId="8" fillId="0" borderId="7" xfId="0" applyFont="1" applyBorder="1"/>
    <xf numFmtId="0" fontId="5" fillId="0" borderId="0" xfId="0" applyFont="1"/>
    <xf numFmtId="0" fontId="8" fillId="0" borderId="5" xfId="0" applyFont="1" applyBorder="1"/>
    <xf numFmtId="0" fontId="0" fillId="0" borderId="9" xfId="0" applyBorder="1"/>
    <xf numFmtId="166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3"/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7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171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65" fontId="0" fillId="0" borderId="11" xfId="0" applyNumberForma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4" fillId="4" borderId="1" xfId="4" applyAlignment="1">
      <alignment vertical="center"/>
    </xf>
    <xf numFmtId="0" fontId="11" fillId="0" borderId="0" xfId="0" applyFont="1" applyBorder="1" applyAlignment="1">
      <alignment vertical="center"/>
    </xf>
    <xf numFmtId="165" fontId="3" fillId="3" borderId="0" xfId="3" applyNumberForma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3" borderId="0" xfId="3" applyAlignment="1">
      <alignment vertical="center"/>
    </xf>
    <xf numFmtId="168" fontId="2" fillId="2" borderId="0" xfId="2" applyNumberFormat="1" applyAlignment="1">
      <alignment horizontal="center" vertical="center"/>
    </xf>
    <xf numFmtId="164" fontId="3" fillId="3" borderId="0" xfId="3" applyNumberFormat="1" applyBorder="1"/>
    <xf numFmtId="0" fontId="13" fillId="0" borderId="0" xfId="0" applyFont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/>
    </xf>
    <xf numFmtId="16" fontId="0" fillId="0" borderId="0" xfId="0" applyNumberFormat="1"/>
    <xf numFmtId="21" fontId="0" fillId="0" borderId="0" xfId="0" applyNumberFormat="1"/>
    <xf numFmtId="11" fontId="0" fillId="0" borderId="0" xfId="0" applyNumberFormat="1"/>
    <xf numFmtId="166" fontId="0" fillId="0" borderId="0" xfId="1" applyNumberFormat="1" applyFont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0" fillId="0" borderId="0" xfId="0" applyNumberFormat="1" applyAlignment="1">
      <alignment vertical="center"/>
    </xf>
    <xf numFmtId="173" fontId="4" fillId="4" borderId="1" xfId="4" applyNumberFormat="1" applyAlignment="1">
      <alignment horizontal="center" vertical="center"/>
    </xf>
    <xf numFmtId="174" fontId="0" fillId="0" borderId="0" xfId="5" applyNumberFormat="1" applyFont="1"/>
    <xf numFmtId="175" fontId="0" fillId="0" borderId="0" xfId="5" applyNumberFormat="1" applyFont="1"/>
    <xf numFmtId="0" fontId="17" fillId="0" borderId="0" xfId="0" applyFont="1"/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8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6" borderId="0" xfId="0" applyFont="1" applyFill="1"/>
    <xf numFmtId="0" fontId="0" fillId="6" borderId="0" xfId="0" applyFill="1"/>
    <xf numFmtId="0" fontId="18" fillId="0" borderId="0" xfId="0" applyFont="1" applyAlignment="1">
      <alignment horizontal="center"/>
    </xf>
    <xf numFmtId="0" fontId="18" fillId="0" borderId="5" xfId="0" applyFont="1" applyBorder="1"/>
    <xf numFmtId="11" fontId="0" fillId="0" borderId="0" xfId="0" applyNumberFormat="1" applyBorder="1"/>
    <xf numFmtId="0" fontId="0" fillId="0" borderId="6" xfId="0" applyBorder="1"/>
    <xf numFmtId="0" fontId="18" fillId="0" borderId="7" xfId="0" applyFont="1" applyBorder="1"/>
    <xf numFmtId="11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2" fontId="0" fillId="0" borderId="0" xfId="0" applyNumberFormat="1" applyAlignment="1">
      <alignment horizontal="center"/>
    </xf>
    <xf numFmtId="172" fontId="2" fillId="2" borderId="0" xfId="2" applyNumberFormat="1" applyAlignment="1">
      <alignment horizontal="center"/>
    </xf>
    <xf numFmtId="172" fontId="0" fillId="0" borderId="0" xfId="0" applyNumberFormat="1"/>
    <xf numFmtId="172" fontId="2" fillId="2" borderId="0" xfId="2" applyNumberFormat="1"/>
    <xf numFmtId="168" fontId="2" fillId="2" borderId="0" xfId="2" applyNumberFormat="1" applyAlignment="1">
      <alignment horizontal="center"/>
    </xf>
    <xf numFmtId="171" fontId="0" fillId="0" borderId="0" xfId="0" applyNumberFormat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0" xfId="0" applyNumberFormat="1"/>
    <xf numFmtId="171" fontId="0" fillId="0" borderId="0" xfId="0" applyNumberFormat="1" applyAlignment="1">
      <alignment horizontal="center"/>
    </xf>
    <xf numFmtId="175" fontId="0" fillId="0" borderId="0" xfId="5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5" applyNumberFormat="1" applyFon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center"/>
    </xf>
  </cellXfs>
  <cellStyles count="6">
    <cellStyle name="Bad" xfId="3" builtinId="27"/>
    <cellStyle name="Comma" xfId="1" builtinId="3"/>
    <cellStyle name="Good" xfId="2" builtinId="26"/>
    <cellStyle name="Input" xfId="4" builtinId="20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470647</xdr:colOff>
      <xdr:row>0</xdr:row>
      <xdr:rowOff>145675</xdr:rowOff>
    </xdr:from>
    <xdr:to>
      <xdr:col>19</xdr:col>
      <xdr:colOff>25094</xdr:colOff>
      <xdr:row>16</xdr:row>
      <xdr:rowOff>164725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F3F106-74DE-4FE5-BF32-191C4A9DD7A1}"/>
            </a:ext>
          </a:extLst>
        </xdr:cNvPr>
        <xdr:cNvGrpSpPr/>
      </xdr:nvGrpSpPr>
      <xdr:grpSpPr>
        <a:xfrm>
          <a:off x="10499912" y="145675"/>
          <a:ext cx="3868711" cy="3089462"/>
          <a:chOff x="9379324" y="3473823"/>
          <a:chExt cx="3868711" cy="308946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AA28CB6-946A-37D2-EAA1-117DACFF3A7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79324" y="3473823"/>
            <a:ext cx="3727637" cy="308946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8F9E942-6850-8696-7E3D-87CBA0C6C8F8}"/>
              </a:ext>
            </a:extLst>
          </xdr:cNvPr>
          <xdr:cNvSpPr txBox="1"/>
        </xdr:nvSpPr>
        <xdr:spPr>
          <a:xfrm>
            <a:off x="9995646" y="3675529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C35C1D8-6B5D-7E3A-C252-95FEEB9D2B63}"/>
              </a:ext>
            </a:extLst>
          </xdr:cNvPr>
          <xdr:cNvSpPr txBox="1"/>
        </xdr:nvSpPr>
        <xdr:spPr>
          <a:xfrm>
            <a:off x="9995646" y="3899646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FBADFDD-72F1-7C16-AF06-D98D9A9DE2C2}"/>
              </a:ext>
            </a:extLst>
          </xdr:cNvPr>
          <xdr:cNvSpPr txBox="1"/>
        </xdr:nvSpPr>
        <xdr:spPr>
          <a:xfrm>
            <a:off x="9995646" y="4134969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3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F1B5012-52F4-786C-55EC-630345201F23}"/>
              </a:ext>
            </a:extLst>
          </xdr:cNvPr>
          <xdr:cNvSpPr txBox="1"/>
        </xdr:nvSpPr>
        <xdr:spPr>
          <a:xfrm>
            <a:off x="11239499" y="3731558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4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A4F2817C-394D-04FF-1323-7A3A7A2A80DE}"/>
              </a:ext>
            </a:extLst>
          </xdr:cNvPr>
          <xdr:cNvSpPr txBox="1"/>
        </xdr:nvSpPr>
        <xdr:spPr>
          <a:xfrm>
            <a:off x="11250704" y="4056528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5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B99BD74-6B98-61C1-E497-1E4390F6584A}"/>
              </a:ext>
            </a:extLst>
          </xdr:cNvPr>
          <xdr:cNvSpPr txBox="1"/>
        </xdr:nvSpPr>
        <xdr:spPr>
          <a:xfrm>
            <a:off x="12472146" y="3653118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98B01BB0-81A9-5080-1357-EFB9E0E48E68}"/>
              </a:ext>
            </a:extLst>
          </xdr:cNvPr>
          <xdr:cNvSpPr txBox="1"/>
        </xdr:nvSpPr>
        <xdr:spPr>
          <a:xfrm>
            <a:off x="12472146" y="3877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7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BC1A5E5-CF48-5BDC-4AC1-3BA3F29AB1BF}"/>
              </a:ext>
            </a:extLst>
          </xdr:cNvPr>
          <xdr:cNvSpPr txBox="1"/>
        </xdr:nvSpPr>
        <xdr:spPr>
          <a:xfrm>
            <a:off x="12472146" y="413497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8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A1342C5-E940-5304-47F3-EA9C1E8A8805}"/>
              </a:ext>
            </a:extLst>
          </xdr:cNvPr>
          <xdr:cNvSpPr txBox="1"/>
        </xdr:nvSpPr>
        <xdr:spPr>
          <a:xfrm>
            <a:off x="9536204" y="4896969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9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50ED64F-81A2-9955-3DF2-7EAE34E626DB}"/>
              </a:ext>
            </a:extLst>
          </xdr:cNvPr>
          <xdr:cNvSpPr txBox="1"/>
        </xdr:nvSpPr>
        <xdr:spPr>
          <a:xfrm>
            <a:off x="9984439" y="4885763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10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5732D4E5-9ED1-1092-CDBF-E3866DABBF6F}"/>
              </a:ext>
            </a:extLst>
          </xdr:cNvPr>
          <xdr:cNvSpPr txBox="1"/>
        </xdr:nvSpPr>
        <xdr:spPr>
          <a:xfrm>
            <a:off x="10611969" y="4896969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11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E4B0D38-EE9C-E7CA-3CBC-AE80EBFAE8FF}"/>
              </a:ext>
            </a:extLst>
          </xdr:cNvPr>
          <xdr:cNvSpPr txBox="1"/>
        </xdr:nvSpPr>
        <xdr:spPr>
          <a:xfrm>
            <a:off x="11228292" y="4896969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12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C5C1D066-BD87-3ECA-3D2A-40B3954CE91E}"/>
              </a:ext>
            </a:extLst>
          </xdr:cNvPr>
          <xdr:cNvSpPr txBox="1"/>
        </xdr:nvSpPr>
        <xdr:spPr>
          <a:xfrm>
            <a:off x="11833410" y="4885763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13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592B4541-34E0-2881-B235-E76DC4CEFEAC}"/>
              </a:ext>
            </a:extLst>
          </xdr:cNvPr>
          <xdr:cNvSpPr txBox="1"/>
        </xdr:nvSpPr>
        <xdr:spPr>
          <a:xfrm>
            <a:off x="12460940" y="4896969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14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7458176-981D-7752-6772-C844AD68C6E5}"/>
              </a:ext>
            </a:extLst>
          </xdr:cNvPr>
          <xdr:cNvSpPr txBox="1"/>
        </xdr:nvSpPr>
        <xdr:spPr>
          <a:xfrm>
            <a:off x="12920381" y="4874557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15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DBA2E3B5-1AFE-1994-B372-8058AAF0CE6E}"/>
              </a:ext>
            </a:extLst>
          </xdr:cNvPr>
          <xdr:cNvSpPr txBox="1"/>
        </xdr:nvSpPr>
        <xdr:spPr>
          <a:xfrm>
            <a:off x="10006851" y="5894292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16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F767FEB2-733A-3B46-1EEA-C3EB21B3E4D4}"/>
              </a:ext>
            </a:extLst>
          </xdr:cNvPr>
          <xdr:cNvSpPr txBox="1"/>
        </xdr:nvSpPr>
        <xdr:spPr>
          <a:xfrm>
            <a:off x="11228291" y="5658969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17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FF8D80F4-13FD-41BF-35A7-417D0EC684EB}"/>
              </a:ext>
            </a:extLst>
          </xdr:cNvPr>
          <xdr:cNvSpPr txBox="1"/>
        </xdr:nvSpPr>
        <xdr:spPr>
          <a:xfrm>
            <a:off x="11228291" y="5871881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18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65A0AC83-AA41-CCBB-6143-2F73ADD9F680}"/>
              </a:ext>
            </a:extLst>
          </xdr:cNvPr>
          <xdr:cNvSpPr txBox="1"/>
        </xdr:nvSpPr>
        <xdr:spPr>
          <a:xfrm>
            <a:off x="11228291" y="6095998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19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BE086897-4C27-EDF7-053E-F1EA099DCD9E}"/>
              </a:ext>
            </a:extLst>
          </xdr:cNvPr>
          <xdr:cNvSpPr txBox="1"/>
        </xdr:nvSpPr>
        <xdr:spPr>
          <a:xfrm>
            <a:off x="12460938" y="5883086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20</xdr:row>
      <xdr:rowOff>114300</xdr:rowOff>
    </xdr:from>
    <xdr:to>
      <xdr:col>22</xdr:col>
      <xdr:colOff>4017645</xdr:colOff>
      <xdr:row>36</xdr:row>
      <xdr:rowOff>155575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723ED4BA-A90C-BD97-2684-9CA1B7977347}"/>
            </a:ext>
          </a:extLst>
        </xdr:cNvPr>
        <xdr:cNvGrpSpPr/>
      </xdr:nvGrpSpPr>
      <xdr:grpSpPr>
        <a:xfrm>
          <a:off x="14001750" y="3924300"/>
          <a:ext cx="3970020" cy="3089275"/>
          <a:chOff x="10801350" y="4762500"/>
          <a:chExt cx="3970020" cy="3089275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72F3F106-74DE-4FE5-BF32-191C4A9DD7A1}"/>
              </a:ext>
            </a:extLst>
          </xdr:cNvPr>
          <xdr:cNvGrpSpPr/>
        </xdr:nvGrpSpPr>
        <xdr:grpSpPr>
          <a:xfrm>
            <a:off x="10925175" y="4762500"/>
            <a:ext cx="3846195" cy="3089275"/>
            <a:chOff x="0" y="0"/>
            <a:chExt cx="3846234" cy="3089462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1AA28CB6-946A-37D2-EAA1-117DACFF3A7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3727637" cy="308946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8F9E942-6850-8696-7E3D-87CBA0C6C8F8}"/>
                </a:ext>
              </a:extLst>
            </xdr:cNvPr>
            <xdr:cNvSpPr txBox="1"/>
          </xdr:nvSpPr>
          <xdr:spPr>
            <a:xfrm>
              <a:off x="616275" y="201694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C35C1D8-6B5D-7E3A-C252-95FEEB9D2B63}"/>
                </a:ext>
              </a:extLst>
            </xdr:cNvPr>
            <xdr:cNvSpPr txBox="1"/>
          </xdr:nvSpPr>
          <xdr:spPr>
            <a:xfrm>
              <a:off x="616275" y="425797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2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FBADFDD-72F1-7C16-AF06-D98D9A9DE2C2}"/>
                </a:ext>
              </a:extLst>
            </xdr:cNvPr>
            <xdr:cNvSpPr txBox="1"/>
          </xdr:nvSpPr>
          <xdr:spPr>
            <a:xfrm>
              <a:off x="616275" y="661106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3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F1B5012-52F4-786C-55EC-630345201F23}"/>
                </a:ext>
              </a:extLst>
            </xdr:cNvPr>
            <xdr:cNvSpPr txBox="1"/>
          </xdr:nvSpPr>
          <xdr:spPr>
            <a:xfrm>
              <a:off x="1860035" y="257719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4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4F2817C-394D-04FF-1323-7A3A7A2A80DE}"/>
                </a:ext>
              </a:extLst>
            </xdr:cNvPr>
            <xdr:cNvSpPr txBox="1"/>
          </xdr:nvSpPr>
          <xdr:spPr>
            <a:xfrm>
              <a:off x="1871239" y="582670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5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B99BD74-6B98-61C1-E497-1E4390F6584A}"/>
                </a:ext>
              </a:extLst>
            </xdr:cNvPr>
            <xdr:cNvSpPr txBox="1"/>
          </xdr:nvSpPr>
          <xdr:spPr>
            <a:xfrm>
              <a:off x="3092589" y="179284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6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8B01BB0-81A9-5080-1357-EFB9E0E48E68}"/>
                </a:ext>
              </a:extLst>
            </xdr:cNvPr>
            <xdr:cNvSpPr txBox="1"/>
          </xdr:nvSpPr>
          <xdr:spPr>
            <a:xfrm>
              <a:off x="3092589" y="403388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7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BC1A5E5-CF48-5BDC-4AC1-3BA3F29AB1BF}"/>
                </a:ext>
              </a:extLst>
            </xdr:cNvPr>
            <xdr:cNvSpPr txBox="1"/>
          </xdr:nvSpPr>
          <xdr:spPr>
            <a:xfrm>
              <a:off x="3092589" y="661107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8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1342C5-E940-5304-47F3-EA9C1E8A8805}"/>
                </a:ext>
              </a:extLst>
            </xdr:cNvPr>
            <xdr:cNvSpPr txBox="1"/>
          </xdr:nvSpPr>
          <xdr:spPr>
            <a:xfrm>
              <a:off x="156868" y="1423060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9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50ED64F-81A2-9955-3DF2-7EAE34E626DB}"/>
                </a:ext>
              </a:extLst>
            </xdr:cNvPr>
            <xdr:cNvSpPr txBox="1"/>
          </xdr:nvSpPr>
          <xdr:spPr>
            <a:xfrm>
              <a:off x="605069" y="1411855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10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32D4E5-9ED1-1092-CDBF-E3866DABBF6F}"/>
                </a:ext>
              </a:extLst>
            </xdr:cNvPr>
            <xdr:cNvSpPr txBox="1"/>
          </xdr:nvSpPr>
          <xdr:spPr>
            <a:xfrm>
              <a:off x="1232552" y="1423060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11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E4B0D38-EE9C-E7CA-3CBC-AE80EBFAE8FF}"/>
                </a:ext>
              </a:extLst>
            </xdr:cNvPr>
            <xdr:cNvSpPr txBox="1"/>
          </xdr:nvSpPr>
          <xdr:spPr>
            <a:xfrm>
              <a:off x="1848828" y="1423060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12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5C1D066-BD87-3ECA-3D2A-40B3954CE91E}"/>
                </a:ext>
              </a:extLst>
            </xdr:cNvPr>
            <xdr:cNvSpPr txBox="1"/>
          </xdr:nvSpPr>
          <xdr:spPr>
            <a:xfrm>
              <a:off x="2453901" y="1411855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13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92B4541-34E0-2881-B235-E76DC4CEFEAC}"/>
                </a:ext>
              </a:extLst>
            </xdr:cNvPr>
            <xdr:cNvSpPr txBox="1"/>
          </xdr:nvSpPr>
          <xdr:spPr>
            <a:xfrm>
              <a:off x="3033614" y="1423060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14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7458176-981D-7752-6772-C844AD68C6E5}"/>
                </a:ext>
              </a:extLst>
            </xdr:cNvPr>
            <xdr:cNvSpPr txBox="1"/>
          </xdr:nvSpPr>
          <xdr:spPr>
            <a:xfrm>
              <a:off x="3513494" y="1414298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15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BA2E3B5-1AFE-1994-B372-8058AAF0CE6E}"/>
                </a:ext>
              </a:extLst>
            </xdr:cNvPr>
            <xdr:cNvSpPr txBox="1"/>
          </xdr:nvSpPr>
          <xdr:spPr>
            <a:xfrm>
              <a:off x="627522" y="2420322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16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F767FEB2-733A-3B46-1EEA-C3EB21B3E4D4}"/>
                </a:ext>
              </a:extLst>
            </xdr:cNvPr>
            <xdr:cNvSpPr txBox="1"/>
          </xdr:nvSpPr>
          <xdr:spPr>
            <a:xfrm>
              <a:off x="1848952" y="2185014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17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F8D80F4-13FD-41BF-35A7-417D0EC684EB}"/>
                </a:ext>
              </a:extLst>
            </xdr:cNvPr>
            <xdr:cNvSpPr txBox="1"/>
          </xdr:nvSpPr>
          <xdr:spPr>
            <a:xfrm>
              <a:off x="1848952" y="2397913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18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5A0AC83-AA41-CCBB-6143-2F73ADD9F680}"/>
                </a:ext>
              </a:extLst>
            </xdr:cNvPr>
            <xdr:cNvSpPr txBox="1"/>
          </xdr:nvSpPr>
          <xdr:spPr>
            <a:xfrm>
              <a:off x="1848952" y="2622016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19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BE086897-4C27-EDF7-053E-F1EA099DCD9E}"/>
                </a:ext>
              </a:extLst>
            </xdr:cNvPr>
            <xdr:cNvSpPr txBox="1"/>
          </xdr:nvSpPr>
          <xdr:spPr>
            <a:xfrm>
              <a:off x="3081589" y="2409117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20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107" name="Text Box 2">
            <a:extLst>
              <a:ext uri="{FF2B5EF4-FFF2-40B4-BE49-F238E27FC236}">
                <a16:creationId xmlns:a16="http://schemas.microsoft.com/office/drawing/2014/main" id="{024C946A-C545-D0FB-6D3C-9099880CB1A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96650" y="4962525"/>
            <a:ext cx="276225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</a:t>
            </a:r>
          </a:p>
        </xdr:txBody>
      </xdr:sp>
      <xdr:sp macro="" textlink="">
        <xdr:nvSpPr>
          <xdr:cNvPr id="4097" name="Text Box 1">
            <a:extLst>
              <a:ext uri="{FF2B5EF4-FFF2-40B4-BE49-F238E27FC236}">
                <a16:creationId xmlns:a16="http://schemas.microsoft.com/office/drawing/2014/main" id="{334B88AB-35C3-B998-C3B3-952832D5276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534900" y="5048250"/>
            <a:ext cx="276225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3</a:t>
            </a:r>
          </a:p>
        </xdr:txBody>
      </xdr:sp>
      <xdr:sp macro="" textlink="">
        <xdr:nvSpPr>
          <xdr:cNvPr id="4098" name="Text Box 2">
            <a:extLst>
              <a:ext uri="{FF2B5EF4-FFF2-40B4-BE49-F238E27FC236}">
                <a16:creationId xmlns:a16="http://schemas.microsoft.com/office/drawing/2014/main" id="{CF0C6EC0-B6C8-7280-6030-608F6B4204F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754100" y="4972050"/>
            <a:ext cx="276225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2</a:t>
            </a:r>
          </a:p>
        </xdr:txBody>
      </xdr:sp>
      <xdr:sp macro="" textlink="">
        <xdr:nvSpPr>
          <xdr:cNvPr id="4099" name="Text Box 3">
            <a:extLst>
              <a:ext uri="{FF2B5EF4-FFF2-40B4-BE49-F238E27FC236}">
                <a16:creationId xmlns:a16="http://schemas.microsoft.com/office/drawing/2014/main" id="{F6835D00-5584-004E-F9E2-FC2F999193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754100" y="5191125"/>
            <a:ext cx="276225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5</a:t>
            </a:r>
          </a:p>
        </xdr:txBody>
      </xdr:sp>
      <xdr:sp macro="" textlink="">
        <xdr:nvSpPr>
          <xdr:cNvPr id="4100" name="Text Box 4">
            <a:extLst>
              <a:ext uri="{FF2B5EF4-FFF2-40B4-BE49-F238E27FC236}">
                <a16:creationId xmlns:a16="http://schemas.microsoft.com/office/drawing/2014/main" id="{69E19020-069D-A228-A263-7C243D54CEE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754100" y="5438775"/>
            <a:ext cx="276225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8</a:t>
            </a:r>
          </a:p>
        </xdr:txBody>
      </xdr:sp>
      <xdr:sp macro="" textlink="">
        <xdr:nvSpPr>
          <xdr:cNvPr id="4101" name="Text Box 5">
            <a:extLst>
              <a:ext uri="{FF2B5EF4-FFF2-40B4-BE49-F238E27FC236}">
                <a16:creationId xmlns:a16="http://schemas.microsoft.com/office/drawing/2014/main" id="{E261C7D9-D10A-74BC-70F6-FC5F7338F9E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525375" y="5353050"/>
            <a:ext cx="276225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6</a:t>
            </a:r>
          </a:p>
        </xdr:txBody>
      </xdr:sp>
      <xdr:sp macro="" textlink="">
        <xdr:nvSpPr>
          <xdr:cNvPr id="4106" name="Text Box 10">
            <a:extLst>
              <a:ext uri="{FF2B5EF4-FFF2-40B4-BE49-F238E27FC236}">
                <a16:creationId xmlns:a16="http://schemas.microsoft.com/office/drawing/2014/main" id="{1A6F70F3-6D1D-0BD3-2910-0DC720619A4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96650" y="5219700"/>
            <a:ext cx="276225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4</a:t>
            </a:r>
          </a:p>
        </xdr:txBody>
      </xdr:sp>
      <xdr:sp macro="" textlink="">
        <xdr:nvSpPr>
          <xdr:cNvPr id="4105" name="Text Box 9">
            <a:extLst>
              <a:ext uri="{FF2B5EF4-FFF2-40B4-BE49-F238E27FC236}">
                <a16:creationId xmlns:a16="http://schemas.microsoft.com/office/drawing/2014/main" id="{178A3EAA-7D9C-C88B-3EB9-CB1ED4D683D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96650" y="5448300"/>
            <a:ext cx="276225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7</a:t>
            </a:r>
          </a:p>
        </xdr:txBody>
      </xdr:sp>
      <xdr:sp macro="" textlink="">
        <xdr:nvSpPr>
          <xdr:cNvPr id="4104" name="Text Box 8">
            <a:extLst>
              <a:ext uri="{FF2B5EF4-FFF2-40B4-BE49-F238E27FC236}">
                <a16:creationId xmlns:a16="http://schemas.microsoft.com/office/drawing/2014/main" id="{64C3D866-14CE-D154-8545-7E7335BE8EA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20600" y="6953250"/>
            <a:ext cx="371475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16</a:t>
            </a:r>
          </a:p>
        </xdr:txBody>
      </xdr:sp>
      <xdr:sp macro="" textlink="">
        <xdr:nvSpPr>
          <xdr:cNvPr id="4102" name="Text Box 6">
            <a:extLst>
              <a:ext uri="{FF2B5EF4-FFF2-40B4-BE49-F238E27FC236}">
                <a16:creationId xmlns:a16="http://schemas.microsoft.com/office/drawing/2014/main" id="{4D15CB3B-4057-4F59-6E4F-0C77FD71B7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30125" y="7210425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18</a:t>
            </a:r>
          </a:p>
        </xdr:txBody>
      </xdr:sp>
      <xdr:sp macro="" textlink="">
        <xdr:nvSpPr>
          <xdr:cNvPr id="4103" name="Text Box 7">
            <a:extLst>
              <a:ext uri="{FF2B5EF4-FFF2-40B4-BE49-F238E27FC236}">
                <a16:creationId xmlns:a16="http://schemas.microsoft.com/office/drawing/2014/main" id="{9F3E5F2C-99B0-48A0-7B15-23C89E8134C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30125" y="7429500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20</a:t>
            </a:r>
          </a:p>
        </xdr:txBody>
      </xdr:sp>
      <xdr:sp macro="" textlink="">
        <xdr:nvSpPr>
          <xdr:cNvPr id="4138" name="Text Box 42">
            <a:extLst>
              <a:ext uri="{FF2B5EF4-FFF2-40B4-BE49-F238E27FC236}">
                <a16:creationId xmlns:a16="http://schemas.microsoft.com/office/drawing/2014/main" id="{F9021FCB-FAE2-078B-634E-E0E276005E2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01400" y="7181850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17</a:t>
            </a:r>
          </a:p>
        </xdr:txBody>
      </xdr:sp>
      <xdr:sp macro="" textlink="">
        <xdr:nvSpPr>
          <xdr:cNvPr id="4108" name="Text Box 12">
            <a:extLst>
              <a:ext uri="{FF2B5EF4-FFF2-40B4-BE49-F238E27FC236}">
                <a16:creationId xmlns:a16="http://schemas.microsoft.com/office/drawing/2014/main" id="{A6C64414-6DB0-9A2F-2A25-69644C064ED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677900" y="7181850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19</a:t>
            </a:r>
          </a:p>
        </xdr:txBody>
      </xdr:sp>
      <xdr:sp macro="" textlink="">
        <xdr:nvSpPr>
          <xdr:cNvPr id="4109" name="Text Box 13">
            <a:extLst>
              <a:ext uri="{FF2B5EF4-FFF2-40B4-BE49-F238E27FC236}">
                <a16:creationId xmlns:a16="http://schemas.microsoft.com/office/drawing/2014/main" id="{C5E84734-BB5C-CA47-E24F-4C80E2F1E2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801350" y="6191250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9</a:t>
            </a:r>
          </a:p>
        </xdr:txBody>
      </xdr:sp>
      <xdr:sp macro="" textlink="">
        <xdr:nvSpPr>
          <xdr:cNvPr id="4110" name="Text Box 14">
            <a:extLst>
              <a:ext uri="{FF2B5EF4-FFF2-40B4-BE49-F238E27FC236}">
                <a16:creationId xmlns:a16="http://schemas.microsoft.com/office/drawing/2014/main" id="{F3EC101E-4CA6-8743-AD84-72910651D78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20450" y="6200775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10</a:t>
            </a:r>
          </a:p>
        </xdr:txBody>
      </xdr:sp>
      <xdr:sp macro="" textlink="">
        <xdr:nvSpPr>
          <xdr:cNvPr id="4111" name="Text Box 15">
            <a:extLst>
              <a:ext uri="{FF2B5EF4-FFF2-40B4-BE49-F238E27FC236}">
                <a16:creationId xmlns:a16="http://schemas.microsoft.com/office/drawing/2014/main" id="{E18E9725-1B54-D598-5F64-9F2A1061ABE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11000" y="6191250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11</a:t>
            </a:r>
          </a:p>
        </xdr:txBody>
      </xdr:sp>
      <xdr:sp macro="" textlink="">
        <xdr:nvSpPr>
          <xdr:cNvPr id="4112" name="Text Box 16">
            <a:extLst>
              <a:ext uri="{FF2B5EF4-FFF2-40B4-BE49-F238E27FC236}">
                <a16:creationId xmlns:a16="http://schemas.microsoft.com/office/drawing/2014/main" id="{55FDD270-F1DD-389E-BEE7-6A3BD2E4B8E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20600" y="6191250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12</a:t>
            </a:r>
          </a:p>
        </xdr:txBody>
      </xdr:sp>
      <xdr:sp macro="" textlink="">
        <xdr:nvSpPr>
          <xdr:cNvPr id="4113" name="Text Box 17">
            <a:extLst>
              <a:ext uri="{FF2B5EF4-FFF2-40B4-BE49-F238E27FC236}">
                <a16:creationId xmlns:a16="http://schemas.microsoft.com/office/drawing/2014/main" id="{77B8F9B4-F9AB-33E0-BC89-C5FE4662CE1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039725" y="6172200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13</a:t>
            </a:r>
          </a:p>
        </xdr:txBody>
      </xdr:sp>
      <xdr:sp macro="" textlink="">
        <xdr:nvSpPr>
          <xdr:cNvPr id="4114" name="Text Box 18">
            <a:extLst>
              <a:ext uri="{FF2B5EF4-FFF2-40B4-BE49-F238E27FC236}">
                <a16:creationId xmlns:a16="http://schemas.microsoft.com/office/drawing/2014/main" id="{5B2824E0-3883-BDA0-7090-E2B6E67941B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649325" y="6200775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14</a:t>
            </a:r>
          </a:p>
        </xdr:txBody>
      </xdr:sp>
      <xdr:sp macro="" textlink="">
        <xdr:nvSpPr>
          <xdr:cNvPr id="4115" name="Text Box 19">
            <a:extLst>
              <a:ext uri="{FF2B5EF4-FFF2-40B4-BE49-F238E27FC236}">
                <a16:creationId xmlns:a16="http://schemas.microsoft.com/office/drawing/2014/main" id="{925668A4-9502-D70F-9EB1-40AFA1C799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54150" y="6200775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15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195542</xdr:colOff>
      <xdr:row>1</xdr:row>
      <xdr:rowOff>67236</xdr:rowOff>
    </xdr:from>
    <xdr:to>
      <xdr:col>18</xdr:col>
      <xdr:colOff>719753</xdr:colOff>
      <xdr:row>17</xdr:row>
      <xdr:rowOff>86099</xdr:rowOff>
    </xdr:to>
    <xdr:grpSp>
      <xdr:nvGrpSpPr>
        <xdr:cNvPr id="6211" name="Group 6210">
          <a:extLst>
            <a:ext uri="{FF2B5EF4-FFF2-40B4-BE49-F238E27FC236}">
              <a16:creationId xmlns:a16="http://schemas.microsoft.com/office/drawing/2014/main" id="{200A8B1A-B0B1-2DDF-FB39-C6BFDF15E005}"/>
            </a:ext>
          </a:extLst>
        </xdr:cNvPr>
        <xdr:cNvGrpSpPr/>
      </xdr:nvGrpSpPr>
      <xdr:grpSpPr>
        <a:xfrm>
          <a:off x="9911042" y="257736"/>
          <a:ext cx="3975623" cy="3089275"/>
          <a:chOff x="14763190" y="381000"/>
          <a:chExt cx="3975623" cy="3089275"/>
        </a:xfrm>
      </xdr:grpSpPr>
      <xdr:grpSp>
        <xdr:nvGrpSpPr>
          <xdr:cNvPr id="6169" name="Group 6168">
            <a:extLst>
              <a:ext uri="{FF2B5EF4-FFF2-40B4-BE49-F238E27FC236}">
                <a16:creationId xmlns:a16="http://schemas.microsoft.com/office/drawing/2014/main" id="{72F3F106-74DE-4FE5-BF32-191C4A9DD7A1}"/>
              </a:ext>
            </a:extLst>
          </xdr:cNvPr>
          <xdr:cNvGrpSpPr/>
        </xdr:nvGrpSpPr>
        <xdr:grpSpPr>
          <a:xfrm>
            <a:off x="14892618" y="381000"/>
            <a:ext cx="3846195" cy="3089275"/>
            <a:chOff x="0" y="0"/>
            <a:chExt cx="3846234" cy="3089462"/>
          </a:xfrm>
        </xdr:grpSpPr>
        <xdr:pic>
          <xdr:nvPicPr>
            <xdr:cNvPr id="6170" name="Picture 6169">
              <a:extLst>
                <a:ext uri="{FF2B5EF4-FFF2-40B4-BE49-F238E27FC236}">
                  <a16:creationId xmlns:a16="http://schemas.microsoft.com/office/drawing/2014/main" id="{1AA28CB6-946A-37D2-EAA1-117DACFF3A7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3727637" cy="308946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171" name="TextBox 3">
              <a:extLst>
                <a:ext uri="{FF2B5EF4-FFF2-40B4-BE49-F238E27FC236}">
                  <a16:creationId xmlns:a16="http://schemas.microsoft.com/office/drawing/2014/main" id="{08F9E942-6850-8696-7E3D-87CBA0C6C8F8}"/>
                </a:ext>
              </a:extLst>
            </xdr:cNvPr>
            <xdr:cNvSpPr txBox="1"/>
          </xdr:nvSpPr>
          <xdr:spPr>
            <a:xfrm>
              <a:off x="616275" y="201694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72" name="TextBox 4">
              <a:extLst>
                <a:ext uri="{FF2B5EF4-FFF2-40B4-BE49-F238E27FC236}">
                  <a16:creationId xmlns:a16="http://schemas.microsoft.com/office/drawing/2014/main" id="{EC35C1D8-6B5D-7E3A-C252-95FEEB9D2B63}"/>
                </a:ext>
              </a:extLst>
            </xdr:cNvPr>
            <xdr:cNvSpPr txBox="1"/>
          </xdr:nvSpPr>
          <xdr:spPr>
            <a:xfrm>
              <a:off x="616275" y="425797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2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73" name="TextBox 5">
              <a:extLst>
                <a:ext uri="{FF2B5EF4-FFF2-40B4-BE49-F238E27FC236}">
                  <a16:creationId xmlns:a16="http://schemas.microsoft.com/office/drawing/2014/main" id="{0FBADFDD-72F1-7C16-AF06-D98D9A9DE2C2}"/>
                </a:ext>
              </a:extLst>
            </xdr:cNvPr>
            <xdr:cNvSpPr txBox="1"/>
          </xdr:nvSpPr>
          <xdr:spPr>
            <a:xfrm>
              <a:off x="616275" y="661106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3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74" name="TextBox 6">
              <a:extLst>
                <a:ext uri="{FF2B5EF4-FFF2-40B4-BE49-F238E27FC236}">
                  <a16:creationId xmlns:a16="http://schemas.microsoft.com/office/drawing/2014/main" id="{0F1B5012-52F4-786C-55EC-630345201F23}"/>
                </a:ext>
              </a:extLst>
            </xdr:cNvPr>
            <xdr:cNvSpPr txBox="1"/>
          </xdr:nvSpPr>
          <xdr:spPr>
            <a:xfrm>
              <a:off x="1860035" y="257719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4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75" name="TextBox 7">
              <a:extLst>
                <a:ext uri="{FF2B5EF4-FFF2-40B4-BE49-F238E27FC236}">
                  <a16:creationId xmlns:a16="http://schemas.microsoft.com/office/drawing/2014/main" id="{A4F2817C-394D-04FF-1323-7A3A7A2A80DE}"/>
                </a:ext>
              </a:extLst>
            </xdr:cNvPr>
            <xdr:cNvSpPr txBox="1"/>
          </xdr:nvSpPr>
          <xdr:spPr>
            <a:xfrm>
              <a:off x="1871239" y="582670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5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76" name="TextBox 8">
              <a:extLst>
                <a:ext uri="{FF2B5EF4-FFF2-40B4-BE49-F238E27FC236}">
                  <a16:creationId xmlns:a16="http://schemas.microsoft.com/office/drawing/2014/main" id="{1B99BD74-6B98-61C1-E497-1E4390F6584A}"/>
                </a:ext>
              </a:extLst>
            </xdr:cNvPr>
            <xdr:cNvSpPr txBox="1"/>
          </xdr:nvSpPr>
          <xdr:spPr>
            <a:xfrm>
              <a:off x="3092589" y="179284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6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77" name="TextBox 9">
              <a:extLst>
                <a:ext uri="{FF2B5EF4-FFF2-40B4-BE49-F238E27FC236}">
                  <a16:creationId xmlns:a16="http://schemas.microsoft.com/office/drawing/2014/main" id="{98B01BB0-81A9-5080-1357-EFB9E0E48E68}"/>
                </a:ext>
              </a:extLst>
            </xdr:cNvPr>
            <xdr:cNvSpPr txBox="1"/>
          </xdr:nvSpPr>
          <xdr:spPr>
            <a:xfrm>
              <a:off x="3092589" y="403388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7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78" name="TextBox 10">
              <a:extLst>
                <a:ext uri="{FF2B5EF4-FFF2-40B4-BE49-F238E27FC236}">
                  <a16:creationId xmlns:a16="http://schemas.microsoft.com/office/drawing/2014/main" id="{3BC1A5E5-CF48-5BDC-4AC1-3BA3F29AB1BF}"/>
                </a:ext>
              </a:extLst>
            </xdr:cNvPr>
            <xdr:cNvSpPr txBox="1"/>
          </xdr:nvSpPr>
          <xdr:spPr>
            <a:xfrm>
              <a:off x="3092589" y="661107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8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79" name="TextBox 11">
              <a:extLst>
                <a:ext uri="{FF2B5EF4-FFF2-40B4-BE49-F238E27FC236}">
                  <a16:creationId xmlns:a16="http://schemas.microsoft.com/office/drawing/2014/main" id="{DA1342C5-E940-5304-47F3-EA9C1E8A8805}"/>
                </a:ext>
              </a:extLst>
            </xdr:cNvPr>
            <xdr:cNvSpPr txBox="1"/>
          </xdr:nvSpPr>
          <xdr:spPr>
            <a:xfrm>
              <a:off x="156868" y="1423060"/>
              <a:ext cx="25781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9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80" name="TextBox 12">
              <a:extLst>
                <a:ext uri="{FF2B5EF4-FFF2-40B4-BE49-F238E27FC236}">
                  <a16:creationId xmlns:a16="http://schemas.microsoft.com/office/drawing/2014/main" id="{050ED64F-81A2-9955-3DF2-7EAE34E626DB}"/>
                </a:ext>
              </a:extLst>
            </xdr:cNvPr>
            <xdr:cNvSpPr txBox="1"/>
          </xdr:nvSpPr>
          <xdr:spPr>
            <a:xfrm>
              <a:off x="605069" y="1411855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10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81" name="TextBox 13">
              <a:extLst>
                <a:ext uri="{FF2B5EF4-FFF2-40B4-BE49-F238E27FC236}">
                  <a16:creationId xmlns:a16="http://schemas.microsoft.com/office/drawing/2014/main" id="{5732D4E5-9ED1-1092-CDBF-E3866DABBF6F}"/>
                </a:ext>
              </a:extLst>
            </xdr:cNvPr>
            <xdr:cNvSpPr txBox="1"/>
          </xdr:nvSpPr>
          <xdr:spPr>
            <a:xfrm>
              <a:off x="1232552" y="1423060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11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82" name="TextBox 14">
              <a:extLst>
                <a:ext uri="{FF2B5EF4-FFF2-40B4-BE49-F238E27FC236}">
                  <a16:creationId xmlns:a16="http://schemas.microsoft.com/office/drawing/2014/main" id="{8E4B0D38-EE9C-E7CA-3CBC-AE80EBFAE8FF}"/>
                </a:ext>
              </a:extLst>
            </xdr:cNvPr>
            <xdr:cNvSpPr txBox="1"/>
          </xdr:nvSpPr>
          <xdr:spPr>
            <a:xfrm>
              <a:off x="1848828" y="1423060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12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83" name="TextBox 15">
              <a:extLst>
                <a:ext uri="{FF2B5EF4-FFF2-40B4-BE49-F238E27FC236}">
                  <a16:creationId xmlns:a16="http://schemas.microsoft.com/office/drawing/2014/main" id="{C5C1D066-BD87-3ECA-3D2A-40B3954CE91E}"/>
                </a:ext>
              </a:extLst>
            </xdr:cNvPr>
            <xdr:cNvSpPr txBox="1"/>
          </xdr:nvSpPr>
          <xdr:spPr>
            <a:xfrm>
              <a:off x="2453901" y="1411855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13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84" name="TextBox 16">
              <a:extLst>
                <a:ext uri="{FF2B5EF4-FFF2-40B4-BE49-F238E27FC236}">
                  <a16:creationId xmlns:a16="http://schemas.microsoft.com/office/drawing/2014/main" id="{592B4541-34E0-2881-B235-E76DC4CEFEAC}"/>
                </a:ext>
              </a:extLst>
            </xdr:cNvPr>
            <xdr:cNvSpPr txBox="1"/>
          </xdr:nvSpPr>
          <xdr:spPr>
            <a:xfrm>
              <a:off x="3033614" y="1423060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14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85" name="TextBox 17">
              <a:extLst>
                <a:ext uri="{FF2B5EF4-FFF2-40B4-BE49-F238E27FC236}">
                  <a16:creationId xmlns:a16="http://schemas.microsoft.com/office/drawing/2014/main" id="{67458176-981D-7752-6772-C844AD68C6E5}"/>
                </a:ext>
              </a:extLst>
            </xdr:cNvPr>
            <xdr:cNvSpPr txBox="1"/>
          </xdr:nvSpPr>
          <xdr:spPr>
            <a:xfrm>
              <a:off x="3513494" y="1414298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15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86" name="TextBox 18">
              <a:extLst>
                <a:ext uri="{FF2B5EF4-FFF2-40B4-BE49-F238E27FC236}">
                  <a16:creationId xmlns:a16="http://schemas.microsoft.com/office/drawing/2014/main" id="{DBA2E3B5-1AFE-1994-B372-8058AAF0CE6E}"/>
                </a:ext>
              </a:extLst>
            </xdr:cNvPr>
            <xdr:cNvSpPr txBox="1"/>
          </xdr:nvSpPr>
          <xdr:spPr>
            <a:xfrm>
              <a:off x="627522" y="2420322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16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88" name="TextBox 19">
              <a:extLst>
                <a:ext uri="{FF2B5EF4-FFF2-40B4-BE49-F238E27FC236}">
                  <a16:creationId xmlns:a16="http://schemas.microsoft.com/office/drawing/2014/main" id="{F767FEB2-733A-3B46-1EEA-C3EB21B3E4D4}"/>
                </a:ext>
              </a:extLst>
            </xdr:cNvPr>
            <xdr:cNvSpPr txBox="1"/>
          </xdr:nvSpPr>
          <xdr:spPr>
            <a:xfrm>
              <a:off x="1848952" y="2185014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17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208" name="TextBox 20">
              <a:extLst>
                <a:ext uri="{FF2B5EF4-FFF2-40B4-BE49-F238E27FC236}">
                  <a16:creationId xmlns:a16="http://schemas.microsoft.com/office/drawing/2014/main" id="{FF8D80F4-13FD-41BF-35A7-417D0EC684EB}"/>
                </a:ext>
              </a:extLst>
            </xdr:cNvPr>
            <xdr:cNvSpPr txBox="1"/>
          </xdr:nvSpPr>
          <xdr:spPr>
            <a:xfrm>
              <a:off x="1848952" y="2397913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18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209" name="TextBox 21">
              <a:extLst>
                <a:ext uri="{FF2B5EF4-FFF2-40B4-BE49-F238E27FC236}">
                  <a16:creationId xmlns:a16="http://schemas.microsoft.com/office/drawing/2014/main" id="{65A0AC83-AA41-CCBB-6143-2F73ADD9F680}"/>
                </a:ext>
              </a:extLst>
            </xdr:cNvPr>
            <xdr:cNvSpPr txBox="1"/>
          </xdr:nvSpPr>
          <xdr:spPr>
            <a:xfrm>
              <a:off x="1848952" y="2622016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19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210" name="TextBox 22">
              <a:extLst>
                <a:ext uri="{FF2B5EF4-FFF2-40B4-BE49-F238E27FC236}">
                  <a16:creationId xmlns:a16="http://schemas.microsoft.com/office/drawing/2014/main" id="{BE086897-4C27-EDF7-053E-F1EA099DCD9E}"/>
                </a:ext>
              </a:extLst>
            </xdr:cNvPr>
            <xdr:cNvSpPr txBox="1"/>
          </xdr:nvSpPr>
          <xdr:spPr>
            <a:xfrm>
              <a:off x="3081589" y="2409117"/>
              <a:ext cx="332740" cy="37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 kern="100">
                  <a:solidFill>
                    <a:srgbClr val="000000"/>
                  </a:solidFill>
                  <a:effectLst/>
                  <a:ea typeface="Aptos" panose="020B0004020202020204" pitchFamily="34" charset="0"/>
                  <a:cs typeface="Times New Roman" panose="02020603050405020304" pitchFamily="18" charset="0"/>
                </a:rPr>
                <a:t>20</a:t>
              </a:r>
              <a:endParaRPr lang="en-US" sz="1100" kern="100">
                <a:effectLst/>
                <a:ea typeface="Aptos" panose="020B0004020202020204" pitchFamily="34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6242" name="Text Box 2">
            <a:extLst>
              <a:ext uri="{FF2B5EF4-FFF2-40B4-BE49-F238E27FC236}">
                <a16:creationId xmlns:a16="http://schemas.microsoft.com/office/drawing/2014/main" id="{2EAA8411-41DC-1BC6-D1C9-E6CA4B86D57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264093" y="581025"/>
            <a:ext cx="276225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</a:t>
            </a:r>
          </a:p>
        </xdr:txBody>
      </xdr:sp>
      <xdr:sp macro="" textlink="">
        <xdr:nvSpPr>
          <xdr:cNvPr id="6232" name="Text Box 88">
            <a:extLst>
              <a:ext uri="{FF2B5EF4-FFF2-40B4-BE49-F238E27FC236}">
                <a16:creationId xmlns:a16="http://schemas.microsoft.com/office/drawing/2014/main" id="{8C48BEEF-1BAD-E197-C763-99C040BE764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07946" y="666750"/>
            <a:ext cx="281828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3</a:t>
            </a:r>
          </a:p>
        </xdr:txBody>
      </xdr:sp>
      <xdr:sp macro="" textlink="">
        <xdr:nvSpPr>
          <xdr:cNvPr id="6233" name="Text Box 89">
            <a:extLst>
              <a:ext uri="{FF2B5EF4-FFF2-40B4-BE49-F238E27FC236}">
                <a16:creationId xmlns:a16="http://schemas.microsoft.com/office/drawing/2014/main" id="{0A78E8AC-AFEA-1C6D-71B3-E247FD5DC8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38351" y="590550"/>
            <a:ext cx="276225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2</a:t>
            </a:r>
          </a:p>
        </xdr:txBody>
      </xdr:sp>
      <xdr:sp macro="" textlink="">
        <xdr:nvSpPr>
          <xdr:cNvPr id="6234" name="Text Box 90">
            <a:extLst>
              <a:ext uri="{FF2B5EF4-FFF2-40B4-BE49-F238E27FC236}">
                <a16:creationId xmlns:a16="http://schemas.microsoft.com/office/drawing/2014/main" id="{34C7E8F4-9A18-2486-D890-5A379E8E463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38351" y="809625"/>
            <a:ext cx="276225" cy="2398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5</a:t>
            </a:r>
          </a:p>
        </xdr:txBody>
      </xdr:sp>
      <xdr:sp macro="" textlink="">
        <xdr:nvSpPr>
          <xdr:cNvPr id="6235" name="Text Box 91">
            <a:extLst>
              <a:ext uri="{FF2B5EF4-FFF2-40B4-BE49-F238E27FC236}">
                <a16:creationId xmlns:a16="http://schemas.microsoft.com/office/drawing/2014/main" id="{0969AEE7-8025-26A3-7752-4191B2D96E4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38351" y="1058956"/>
            <a:ext cx="276225" cy="2398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8</a:t>
            </a:r>
          </a:p>
        </xdr:txBody>
      </xdr:sp>
      <xdr:sp macro="" textlink="">
        <xdr:nvSpPr>
          <xdr:cNvPr id="6236" name="Text Box 92">
            <a:extLst>
              <a:ext uri="{FF2B5EF4-FFF2-40B4-BE49-F238E27FC236}">
                <a16:creationId xmlns:a16="http://schemas.microsoft.com/office/drawing/2014/main" id="{9FB96568-895D-0714-899A-7492CABAB9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98421" y="973231"/>
            <a:ext cx="281828" cy="2398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6</a:t>
            </a:r>
          </a:p>
        </xdr:txBody>
      </xdr:sp>
      <xdr:sp macro="" textlink="">
        <xdr:nvSpPr>
          <xdr:cNvPr id="6241" name="Text Box 97">
            <a:extLst>
              <a:ext uri="{FF2B5EF4-FFF2-40B4-BE49-F238E27FC236}">
                <a16:creationId xmlns:a16="http://schemas.microsoft.com/office/drawing/2014/main" id="{E4C3E988-3664-985B-F145-4094C11494C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264093" y="838200"/>
            <a:ext cx="276225" cy="2398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4</a:t>
            </a:r>
          </a:p>
        </xdr:txBody>
      </xdr:sp>
      <xdr:sp macro="" textlink="">
        <xdr:nvSpPr>
          <xdr:cNvPr id="6240" name="Text Box 96">
            <a:extLst>
              <a:ext uri="{FF2B5EF4-FFF2-40B4-BE49-F238E27FC236}">
                <a16:creationId xmlns:a16="http://schemas.microsoft.com/office/drawing/2014/main" id="{BCA07FD2-8DA6-F62F-5389-D6F23480422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264093" y="1068481"/>
            <a:ext cx="276225" cy="2398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7</a:t>
            </a:r>
          </a:p>
        </xdr:txBody>
      </xdr:sp>
      <xdr:sp macro="" textlink="">
        <xdr:nvSpPr>
          <xdr:cNvPr id="6239" name="Text Box 95">
            <a:extLst>
              <a:ext uri="{FF2B5EF4-FFF2-40B4-BE49-F238E27FC236}">
                <a16:creationId xmlns:a16="http://schemas.microsoft.com/office/drawing/2014/main" id="{84723EBA-3A8B-8CBD-B0DF-B42BFB2C31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93646" y="2575112"/>
            <a:ext cx="377078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16</a:t>
            </a:r>
          </a:p>
        </xdr:txBody>
      </xdr:sp>
      <xdr:sp macro="" textlink="">
        <xdr:nvSpPr>
          <xdr:cNvPr id="6237" name="Text Box 93">
            <a:extLst>
              <a:ext uri="{FF2B5EF4-FFF2-40B4-BE49-F238E27FC236}">
                <a16:creationId xmlns:a16="http://schemas.microsoft.com/office/drawing/2014/main" id="{B3DF4FBE-0AEA-33E9-DA28-50ECA362D9E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03171" y="2832287"/>
            <a:ext cx="367553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18</a:t>
            </a:r>
          </a:p>
        </xdr:txBody>
      </xdr:sp>
      <xdr:sp macro="" textlink="">
        <xdr:nvSpPr>
          <xdr:cNvPr id="6238" name="Text Box 94">
            <a:extLst>
              <a:ext uri="{FF2B5EF4-FFF2-40B4-BE49-F238E27FC236}">
                <a16:creationId xmlns:a16="http://schemas.microsoft.com/office/drawing/2014/main" id="{E6960CE9-9FD3-DFB0-4FFF-EDA7C1B3DC6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03171" y="3051362"/>
            <a:ext cx="367553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20</a:t>
            </a:r>
          </a:p>
        </xdr:txBody>
      </xdr:sp>
      <xdr:sp macro="" textlink="">
        <xdr:nvSpPr>
          <xdr:cNvPr id="6273" name="Text Box 129">
            <a:extLst>
              <a:ext uri="{FF2B5EF4-FFF2-40B4-BE49-F238E27FC236}">
                <a16:creationId xmlns:a16="http://schemas.microsoft.com/office/drawing/2014/main" id="{863F3FEB-C6C6-B99B-D517-AA6B28B6F6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168843" y="2803712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17</a:t>
            </a:r>
          </a:p>
        </xdr:txBody>
      </xdr:sp>
      <xdr:sp macro="" textlink="">
        <xdr:nvSpPr>
          <xdr:cNvPr id="6243" name="Text Box 99">
            <a:extLst>
              <a:ext uri="{FF2B5EF4-FFF2-40B4-BE49-F238E27FC236}">
                <a16:creationId xmlns:a16="http://schemas.microsoft.com/office/drawing/2014/main" id="{FBF6030C-B6D8-1973-08C1-0A5F6ECB32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662151" y="2803712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19</a:t>
            </a:r>
          </a:p>
        </xdr:txBody>
      </xdr:sp>
      <xdr:sp macro="" textlink="">
        <xdr:nvSpPr>
          <xdr:cNvPr id="6244" name="Text Box 100">
            <a:extLst>
              <a:ext uri="{FF2B5EF4-FFF2-40B4-BE49-F238E27FC236}">
                <a16:creationId xmlns:a16="http://schemas.microsoft.com/office/drawing/2014/main" id="{041AC963-457A-F4DF-C5D9-4795801F80F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763190" y="1813112"/>
            <a:ext cx="367553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9</a:t>
            </a:r>
          </a:p>
        </xdr:txBody>
      </xdr:sp>
      <xdr:sp macro="" textlink="">
        <xdr:nvSpPr>
          <xdr:cNvPr id="6245" name="Text Box 101">
            <a:extLst>
              <a:ext uri="{FF2B5EF4-FFF2-40B4-BE49-F238E27FC236}">
                <a16:creationId xmlns:a16="http://schemas.microsoft.com/office/drawing/2014/main" id="{6CB6DDA0-29BD-A4D5-256B-17CBAE06B34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187893" y="1822637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10</a:t>
            </a:r>
          </a:p>
        </xdr:txBody>
      </xdr:sp>
      <xdr:sp macro="" textlink="">
        <xdr:nvSpPr>
          <xdr:cNvPr id="6246" name="Text Box 102">
            <a:extLst>
              <a:ext uri="{FF2B5EF4-FFF2-40B4-BE49-F238E27FC236}">
                <a16:creationId xmlns:a16="http://schemas.microsoft.com/office/drawing/2014/main" id="{B1CC1A28-025D-76B2-507E-BEE87960FCA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784046" y="1813112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11</a:t>
            </a:r>
          </a:p>
        </xdr:txBody>
      </xdr:sp>
      <xdr:sp macro="" textlink="">
        <xdr:nvSpPr>
          <xdr:cNvPr id="6247" name="Text Box 103">
            <a:extLst>
              <a:ext uri="{FF2B5EF4-FFF2-40B4-BE49-F238E27FC236}">
                <a16:creationId xmlns:a16="http://schemas.microsoft.com/office/drawing/2014/main" id="{280A1834-AD5B-ED15-0EA4-D260B33D248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93646" y="1813112"/>
            <a:ext cx="367553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12</a:t>
            </a:r>
          </a:p>
        </xdr:txBody>
      </xdr:sp>
      <xdr:sp macro="" textlink="">
        <xdr:nvSpPr>
          <xdr:cNvPr id="6248" name="Text Box 104">
            <a:extLst>
              <a:ext uri="{FF2B5EF4-FFF2-40B4-BE49-F238E27FC236}">
                <a16:creationId xmlns:a16="http://schemas.microsoft.com/office/drawing/2014/main" id="{FD7A5E69-21B0-7C9A-3EF8-01478A0D05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018374" y="1794062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13</a:t>
            </a:r>
          </a:p>
        </xdr:txBody>
      </xdr:sp>
      <xdr:sp macro="" textlink="">
        <xdr:nvSpPr>
          <xdr:cNvPr id="6249" name="Text Box 105">
            <a:extLst>
              <a:ext uri="{FF2B5EF4-FFF2-40B4-BE49-F238E27FC236}">
                <a16:creationId xmlns:a16="http://schemas.microsoft.com/office/drawing/2014/main" id="{B417CFF1-49FB-8002-7DD6-BE4C5694BBC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633576" y="1822637"/>
            <a:ext cx="361950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14</a:t>
            </a:r>
          </a:p>
        </xdr:txBody>
      </xdr:sp>
      <xdr:sp macro="" textlink="">
        <xdr:nvSpPr>
          <xdr:cNvPr id="6250" name="Text Box 106">
            <a:extLst>
              <a:ext uri="{FF2B5EF4-FFF2-40B4-BE49-F238E27FC236}">
                <a16:creationId xmlns:a16="http://schemas.microsoft.com/office/drawing/2014/main" id="{7E81B3C8-719F-B0F8-536E-2AC3B7EFC8B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138401" y="1822637"/>
            <a:ext cx="367553" cy="238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7F7F7F"/>
                </a:solidFill>
                <a:latin typeface="Courier New"/>
                <a:cs typeface="Courier New"/>
              </a:rPr>
              <a:t>15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FD9D-264D-4E94-A2A4-BD7C29661579}">
  <dimension ref="A1:AB47"/>
  <sheetViews>
    <sheetView zoomScale="85" zoomScaleNormal="85" workbookViewId="0">
      <selection activeCell="G47" sqref="G47"/>
    </sheetView>
  </sheetViews>
  <sheetFormatPr defaultRowHeight="15" x14ac:dyDescent="0.25"/>
  <cols>
    <col min="1" max="1" width="3.140625" bestFit="1" customWidth="1"/>
    <col min="2" max="2" width="15.140625" bestFit="1" customWidth="1"/>
    <col min="3" max="3" width="7.7109375" bestFit="1" customWidth="1"/>
    <col min="4" max="4" width="7.140625" bestFit="1" customWidth="1"/>
    <col min="5" max="5" width="8.7109375" bestFit="1" customWidth="1"/>
    <col min="6" max="6" width="10.42578125" bestFit="1" customWidth="1"/>
    <col min="7" max="7" width="10.7109375" bestFit="1" customWidth="1"/>
    <col min="8" max="8" width="12.140625" bestFit="1" customWidth="1"/>
    <col min="9" max="9" width="10.42578125" bestFit="1" customWidth="1"/>
    <col min="10" max="29" width="12.85546875" customWidth="1"/>
    <col min="30" max="30" width="4.7109375" bestFit="1" customWidth="1"/>
  </cols>
  <sheetData>
    <row r="1" spans="1:14" x14ac:dyDescent="0.25">
      <c r="B1" s="53" t="s">
        <v>54</v>
      </c>
      <c r="C1" s="17" t="s">
        <v>30</v>
      </c>
      <c r="D1" s="53" t="s">
        <v>60</v>
      </c>
      <c r="E1" s="17" t="s">
        <v>29</v>
      </c>
      <c r="F1" s="17" t="s">
        <v>28</v>
      </c>
      <c r="G1" s="17" t="s">
        <v>34</v>
      </c>
      <c r="H1" s="17" t="s">
        <v>3</v>
      </c>
      <c r="J1" s="25" t="s">
        <v>36</v>
      </c>
      <c r="K1" s="22"/>
      <c r="L1" s="22"/>
    </row>
    <row r="2" spans="1:14" x14ac:dyDescent="0.25">
      <c r="B2" s="21"/>
      <c r="C2" s="54" t="s">
        <v>8</v>
      </c>
      <c r="D2" s="55" t="s">
        <v>31</v>
      </c>
      <c r="E2" s="17"/>
      <c r="F2" s="17" t="s">
        <v>35</v>
      </c>
      <c r="G2" s="21"/>
      <c r="H2" s="21"/>
      <c r="J2" s="25" t="s">
        <v>12</v>
      </c>
      <c r="K2" s="22">
        <v>101325</v>
      </c>
      <c r="L2" s="37" t="s">
        <v>1</v>
      </c>
    </row>
    <row r="3" spans="1:14" x14ac:dyDescent="0.25">
      <c r="A3" s="17">
        <v>1</v>
      </c>
      <c r="B3" s="48">
        <v>1</v>
      </c>
      <c r="C3" s="23">
        <f t="shared" ref="C3:C22" si="0">SQRT(D3)</f>
        <v>0.1</v>
      </c>
      <c r="D3" s="47">
        <v>0.01</v>
      </c>
      <c r="E3" s="22">
        <v>0.6</v>
      </c>
      <c r="F3" s="31">
        <f t="shared" ref="F3:F22" si="1">$K$6*D3*$K$7/C3</f>
        <v>1.8162490899999997E-4</v>
      </c>
      <c r="G3" s="31">
        <f t="shared" ref="G3:G22" si="2">E3*D3*SQRT(2)</f>
        <v>8.4852813742385715E-3</v>
      </c>
      <c r="H3" s="28">
        <f t="shared" ref="H3:H22" si="3">2*D3*C3*E3^2/$K$7</f>
        <v>7.1999999999999997E-6</v>
      </c>
      <c r="J3" s="25" t="s">
        <v>11</v>
      </c>
      <c r="K3" s="38">
        <f>20</f>
        <v>20</v>
      </c>
      <c r="L3" s="37" t="s">
        <v>10</v>
      </c>
    </row>
    <row r="4" spans="1:14" x14ac:dyDescent="0.25">
      <c r="A4" s="17">
        <f t="shared" ref="A4:A22" si="4">A3+1</f>
        <v>2</v>
      </c>
      <c r="B4" s="48">
        <v>4</v>
      </c>
      <c r="C4" s="23">
        <f t="shared" si="0"/>
        <v>1</v>
      </c>
      <c r="D4" s="47">
        <v>1</v>
      </c>
      <c r="E4" s="22">
        <v>0.6</v>
      </c>
      <c r="F4" s="31">
        <f t="shared" si="1"/>
        <v>1.8162490899999999E-3</v>
      </c>
      <c r="G4" s="31">
        <f t="shared" si="2"/>
        <v>0.84852813742385702</v>
      </c>
      <c r="H4" s="52">
        <f t="shared" si="3"/>
        <v>7.1999999999999998E-3</v>
      </c>
      <c r="J4" s="25"/>
      <c r="K4" s="22">
        <f>K3+273.15</f>
        <v>293.14999999999998</v>
      </c>
      <c r="L4" s="37" t="s">
        <v>3</v>
      </c>
    </row>
    <row r="5" spans="1:14" ht="15.75" x14ac:dyDescent="0.25">
      <c r="A5" s="17">
        <f t="shared" si="4"/>
        <v>3</v>
      </c>
      <c r="B5" s="48">
        <v>7</v>
      </c>
      <c r="C5" s="23">
        <f t="shared" si="0"/>
        <v>2</v>
      </c>
      <c r="D5" s="47">
        <v>4</v>
      </c>
      <c r="E5" s="22">
        <v>0.6</v>
      </c>
      <c r="F5" s="31">
        <f t="shared" si="1"/>
        <v>3.6324981799999998E-3</v>
      </c>
      <c r="G5" s="31">
        <f t="shared" si="2"/>
        <v>3.3941125496954281</v>
      </c>
      <c r="H5" s="52">
        <f t="shared" si="3"/>
        <v>5.7599999999999998E-2</v>
      </c>
      <c r="J5" s="39" t="s">
        <v>52</v>
      </c>
      <c r="K5" s="45">
        <f>K2/(287.055*K4)</f>
        <v>1.2040973427229398</v>
      </c>
      <c r="L5" s="41" t="s">
        <v>5</v>
      </c>
    </row>
    <row r="6" spans="1:14" ht="15.75" x14ac:dyDescent="0.25">
      <c r="A6" s="17">
        <f t="shared" si="4"/>
        <v>4</v>
      </c>
      <c r="B6" s="48">
        <v>3</v>
      </c>
      <c r="C6" s="23">
        <f t="shared" si="0"/>
        <v>0.05</v>
      </c>
      <c r="D6" s="47">
        <v>2.5000000000000001E-3</v>
      </c>
      <c r="E6" s="22">
        <v>0.6</v>
      </c>
      <c r="F6" s="31">
        <f t="shared" si="1"/>
        <v>9.0812454499999984E-5</v>
      </c>
      <c r="G6" s="31">
        <f t="shared" si="2"/>
        <v>2.1213203435596429E-3</v>
      </c>
      <c r="H6" s="28">
        <f t="shared" si="3"/>
        <v>8.9999999999999996E-7</v>
      </c>
      <c r="J6" s="42" t="s">
        <v>8</v>
      </c>
      <c r="K6" s="19">
        <f>0.0000037143+0.000000049286*K4</f>
        <v>1.8162490899999998E-5</v>
      </c>
      <c r="L6" s="24" t="s">
        <v>9</v>
      </c>
    </row>
    <row r="7" spans="1:14" x14ac:dyDescent="0.25">
      <c r="A7" s="17">
        <f t="shared" si="4"/>
        <v>5</v>
      </c>
      <c r="B7" s="48">
        <v>6</v>
      </c>
      <c r="C7" s="23">
        <f t="shared" si="0"/>
        <v>0.06</v>
      </c>
      <c r="D7" s="47">
        <v>3.5999999999999999E-3</v>
      </c>
      <c r="E7" s="22">
        <v>0.6</v>
      </c>
      <c r="F7" s="31">
        <f t="shared" si="1"/>
        <v>1.089749454E-4</v>
      </c>
      <c r="G7" s="31">
        <f t="shared" si="2"/>
        <v>3.0547012947258856E-3</v>
      </c>
      <c r="H7" s="28">
        <f t="shared" si="3"/>
        <v>1.5551999999999999E-6</v>
      </c>
      <c r="J7" s="25" t="s">
        <v>27</v>
      </c>
      <c r="K7" s="22">
        <v>100</v>
      </c>
      <c r="L7" s="22"/>
    </row>
    <row r="8" spans="1:14" x14ac:dyDescent="0.25">
      <c r="A8" s="17">
        <f t="shared" si="4"/>
        <v>6</v>
      </c>
      <c r="B8" s="48">
        <v>2</v>
      </c>
      <c r="C8" s="23">
        <f t="shared" si="0"/>
        <v>1</v>
      </c>
      <c r="D8" s="47">
        <v>1</v>
      </c>
      <c r="E8" s="22">
        <v>0.6</v>
      </c>
      <c r="F8" s="31">
        <f t="shared" si="1"/>
        <v>1.8162490899999999E-3</v>
      </c>
      <c r="G8" s="31">
        <f t="shared" si="2"/>
        <v>0.84852813742385702</v>
      </c>
      <c r="H8" s="52">
        <f t="shared" si="3"/>
        <v>7.1999999999999998E-3</v>
      </c>
    </row>
    <row r="9" spans="1:14" x14ac:dyDescent="0.25">
      <c r="A9" s="17">
        <f t="shared" si="4"/>
        <v>7</v>
      </c>
      <c r="B9" s="48">
        <v>5</v>
      </c>
      <c r="C9" s="23">
        <f t="shared" si="0"/>
        <v>1</v>
      </c>
      <c r="D9" s="47">
        <v>1</v>
      </c>
      <c r="E9" s="22">
        <v>0.6</v>
      </c>
      <c r="F9" s="31">
        <f t="shared" si="1"/>
        <v>1.8162490899999999E-3</v>
      </c>
      <c r="G9" s="31">
        <f t="shared" si="2"/>
        <v>0.84852813742385702</v>
      </c>
      <c r="H9" s="52">
        <f t="shared" si="3"/>
        <v>7.1999999999999998E-3</v>
      </c>
      <c r="J9" s="22"/>
      <c r="K9" s="30" t="s">
        <v>42</v>
      </c>
      <c r="L9" s="30" t="s">
        <v>57</v>
      </c>
      <c r="M9" s="16"/>
      <c r="N9" s="16"/>
    </row>
    <row r="10" spans="1:14" x14ac:dyDescent="0.25">
      <c r="A10" s="17">
        <f t="shared" si="4"/>
        <v>8</v>
      </c>
      <c r="B10" s="48">
        <v>8</v>
      </c>
      <c r="C10" s="23">
        <f t="shared" si="0"/>
        <v>1</v>
      </c>
      <c r="D10" s="47">
        <v>1</v>
      </c>
      <c r="E10" s="22">
        <v>0.6</v>
      </c>
      <c r="F10" s="31">
        <f t="shared" si="1"/>
        <v>1.8162490899999999E-3</v>
      </c>
      <c r="G10" s="31">
        <f t="shared" si="2"/>
        <v>0.84852813742385702</v>
      </c>
      <c r="H10" s="52">
        <f t="shared" si="3"/>
        <v>7.1999999999999998E-3</v>
      </c>
      <c r="J10" s="20" t="s">
        <v>43</v>
      </c>
      <c r="K10" s="26">
        <f>SUM(G3:G5)</f>
        <v>4.2511259684935236</v>
      </c>
      <c r="L10" s="26">
        <f>SUM(H3:H5)</f>
        <v>6.4807199999999995E-2</v>
      </c>
    </row>
    <row r="11" spans="1:14" x14ac:dyDescent="0.25">
      <c r="A11" s="17">
        <f t="shared" si="4"/>
        <v>9</v>
      </c>
      <c r="B11" s="48">
        <v>9</v>
      </c>
      <c r="C11" s="23">
        <f t="shared" si="0"/>
        <v>1</v>
      </c>
      <c r="D11" s="47">
        <v>1</v>
      </c>
      <c r="E11" s="22">
        <v>0.6</v>
      </c>
      <c r="F11" s="31">
        <f t="shared" si="1"/>
        <v>1.8162490899999999E-3</v>
      </c>
      <c r="G11" s="31">
        <f t="shared" si="2"/>
        <v>0.84852813742385702</v>
      </c>
      <c r="H11" s="52">
        <f t="shared" si="3"/>
        <v>7.1999999999999998E-3</v>
      </c>
      <c r="J11" s="20" t="s">
        <v>44</v>
      </c>
      <c r="K11" s="26">
        <f>SUM(G6:G7)</f>
        <v>5.176021638285528E-3</v>
      </c>
      <c r="L11" s="31">
        <f>SUM(H6:H7)</f>
        <v>2.4551999999999998E-6</v>
      </c>
    </row>
    <row r="12" spans="1:14" x14ac:dyDescent="0.25">
      <c r="A12" s="17">
        <f t="shared" si="4"/>
        <v>10</v>
      </c>
      <c r="B12" s="48">
        <v>10</v>
      </c>
      <c r="C12" s="23">
        <f t="shared" si="0"/>
        <v>1</v>
      </c>
      <c r="D12" s="47">
        <v>1</v>
      </c>
      <c r="E12" s="22">
        <v>0.6</v>
      </c>
      <c r="F12" s="31">
        <f t="shared" si="1"/>
        <v>1.8162490899999999E-3</v>
      </c>
      <c r="G12" s="31">
        <f t="shared" si="2"/>
        <v>0.84852813742385702</v>
      </c>
      <c r="H12" s="52">
        <f t="shared" si="3"/>
        <v>7.1999999999999998E-3</v>
      </c>
      <c r="J12" s="20" t="s">
        <v>45</v>
      </c>
      <c r="K12" s="27">
        <f>SUM(G8:G10)</f>
        <v>2.545584412271571</v>
      </c>
      <c r="L12" s="32">
        <f>SUM(H8:H10)</f>
        <v>2.1600000000000001E-2</v>
      </c>
    </row>
    <row r="13" spans="1:14" x14ac:dyDescent="0.25">
      <c r="A13" s="17">
        <f t="shared" si="4"/>
        <v>11</v>
      </c>
      <c r="B13" s="48">
        <v>11</v>
      </c>
      <c r="C13" s="23">
        <f t="shared" si="0"/>
        <v>0.01</v>
      </c>
      <c r="D13" s="47">
        <v>1E-4</v>
      </c>
      <c r="E13" s="22">
        <v>0.6</v>
      </c>
      <c r="F13" s="31">
        <f t="shared" si="1"/>
        <v>1.8162490899999998E-5</v>
      </c>
      <c r="G13" s="31">
        <f t="shared" si="2"/>
        <v>8.485281374238571E-5</v>
      </c>
      <c r="H13" s="52">
        <f t="shared" si="3"/>
        <v>7.2000000000000008E-9</v>
      </c>
      <c r="J13" s="20" t="s">
        <v>46</v>
      </c>
      <c r="K13" s="27">
        <f>SUM(G19:G21)</f>
        <v>4.2427255399330273</v>
      </c>
      <c r="L13" s="27">
        <f>SUM(H19:H21)</f>
        <v>6.4800007199999995E-2</v>
      </c>
    </row>
    <row r="14" spans="1:14" x14ac:dyDescent="0.25">
      <c r="A14" s="17">
        <f t="shared" si="4"/>
        <v>12</v>
      </c>
      <c r="B14" s="48">
        <v>12</v>
      </c>
      <c r="C14" s="23">
        <f t="shared" si="0"/>
        <v>1</v>
      </c>
      <c r="D14" s="47">
        <v>1</v>
      </c>
      <c r="E14" s="22">
        <v>0.6</v>
      </c>
      <c r="F14" s="31">
        <f t="shared" si="1"/>
        <v>1.8162490899999999E-3</v>
      </c>
      <c r="G14" s="31">
        <f t="shared" si="2"/>
        <v>0.84852813742385702</v>
      </c>
      <c r="H14" s="52">
        <f t="shared" si="3"/>
        <v>7.1999999999999998E-3</v>
      </c>
      <c r="J14" s="20" t="s">
        <v>47</v>
      </c>
      <c r="K14" s="22">
        <f>1/SQRT(1/(K10^2)+1/(K11^2)+1/(K12^2))</f>
        <v>5.1760071017263893E-3</v>
      </c>
      <c r="L14" s="31">
        <f>1/(1/L10+1/L11+1/L12)</f>
        <v>2.4548279675169642E-6</v>
      </c>
    </row>
    <row r="15" spans="1:14" x14ac:dyDescent="0.25">
      <c r="A15" s="17">
        <f t="shared" si="4"/>
        <v>13</v>
      </c>
      <c r="B15" s="48">
        <v>13</v>
      </c>
      <c r="C15" s="23">
        <f t="shared" si="0"/>
        <v>0.02</v>
      </c>
      <c r="D15" s="47">
        <v>4.0000000000000002E-4</v>
      </c>
      <c r="E15" s="22">
        <v>0.6</v>
      </c>
      <c r="F15" s="31">
        <f t="shared" si="1"/>
        <v>3.6324981799999996E-5</v>
      </c>
      <c r="G15" s="31">
        <f t="shared" si="2"/>
        <v>3.3941125496954284E-4</v>
      </c>
      <c r="H15" s="28">
        <f t="shared" si="3"/>
        <v>5.7600000000000006E-8</v>
      </c>
      <c r="J15" s="20" t="s">
        <v>48</v>
      </c>
      <c r="K15" s="26">
        <f>1/SQRT(1/(G12^2)+1/(G13^2)+1/(G14^2)+1/(G15^2)+1/(G16^2))</f>
        <v>8.2319320069422622E-5</v>
      </c>
      <c r="L15" s="29">
        <f>1/(1/H12+1/H13+1/H14+1/H15+1/H16)</f>
        <v>6.3999879111339467E-9</v>
      </c>
    </row>
    <row r="16" spans="1:14" x14ac:dyDescent="0.25">
      <c r="A16" s="17">
        <f t="shared" si="4"/>
        <v>14</v>
      </c>
      <c r="B16" s="48">
        <v>14</v>
      </c>
      <c r="C16" s="23">
        <f t="shared" si="0"/>
        <v>2</v>
      </c>
      <c r="D16" s="47">
        <v>4</v>
      </c>
      <c r="E16" s="22">
        <v>0.6</v>
      </c>
      <c r="F16" s="31">
        <f t="shared" si="1"/>
        <v>3.6324981799999998E-3</v>
      </c>
      <c r="G16" s="31">
        <f t="shared" si="2"/>
        <v>3.3941125496954281</v>
      </c>
      <c r="H16" s="52">
        <f t="shared" si="3"/>
        <v>5.7599999999999998E-2</v>
      </c>
      <c r="J16" s="20" t="s">
        <v>49</v>
      </c>
      <c r="K16" s="26">
        <f>1/SQRT(1/(G18^2)+1/(K13^2)+1/(G22^2))</f>
        <v>3.101579236941029E-4</v>
      </c>
      <c r="L16" s="29">
        <f>1/(1/H18+1/L13+1/H22)</f>
        <v>4.4434255245085507E-8</v>
      </c>
    </row>
    <row r="17" spans="1:28" x14ac:dyDescent="0.25">
      <c r="A17" s="17">
        <f t="shared" si="4"/>
        <v>15</v>
      </c>
      <c r="B17" s="48">
        <v>15</v>
      </c>
      <c r="C17" s="23">
        <f t="shared" si="0"/>
        <v>1</v>
      </c>
      <c r="D17" s="47">
        <v>1</v>
      </c>
      <c r="E17" s="22">
        <v>0.6</v>
      </c>
      <c r="F17" s="31">
        <f t="shared" si="1"/>
        <v>1.8162490899999999E-3</v>
      </c>
      <c r="G17" s="31">
        <f t="shared" si="2"/>
        <v>0.84852813742385702</v>
      </c>
      <c r="H17" s="52">
        <f t="shared" si="3"/>
        <v>7.1999999999999998E-3</v>
      </c>
      <c r="J17" s="20" t="s">
        <v>50</v>
      </c>
      <c r="K17" s="22">
        <f>SUM(K14:K16)</f>
        <v>5.5684843454899147E-3</v>
      </c>
      <c r="L17" s="31">
        <f>SUM(L14:L16)</f>
        <v>2.5056622106731836E-6</v>
      </c>
    </row>
    <row r="18" spans="1:28" x14ac:dyDescent="0.25">
      <c r="A18" s="17">
        <f t="shared" si="4"/>
        <v>16</v>
      </c>
      <c r="B18" s="48">
        <v>17</v>
      </c>
      <c r="C18" s="23">
        <f t="shared" si="0"/>
        <v>0.02</v>
      </c>
      <c r="D18" s="47">
        <v>4.0000000000000002E-4</v>
      </c>
      <c r="E18" s="22">
        <v>0.6</v>
      </c>
      <c r="F18" s="31">
        <f t="shared" si="1"/>
        <v>3.6324981799999996E-5</v>
      </c>
      <c r="G18" s="31">
        <f t="shared" si="2"/>
        <v>3.3941125496954284E-4</v>
      </c>
      <c r="H18" s="28">
        <f t="shared" si="3"/>
        <v>5.7600000000000006E-8</v>
      </c>
      <c r="J18" s="20" t="s">
        <v>51</v>
      </c>
      <c r="K18" s="56">
        <f>1/SQRT(1/(G11^2)+1/(K17^2)+1/(G17^2))</f>
        <v>5.568244544783307E-3</v>
      </c>
      <c r="L18" s="31">
        <f>1/(1/H11+1/L17+1/H17)</f>
        <v>2.5039194394737228E-6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x14ac:dyDescent="0.25">
      <c r="A19" s="17">
        <f t="shared" si="4"/>
        <v>17</v>
      </c>
      <c r="B19" s="48">
        <v>16</v>
      </c>
      <c r="C19" s="23">
        <f t="shared" si="0"/>
        <v>2</v>
      </c>
      <c r="D19" s="47">
        <v>4</v>
      </c>
      <c r="E19" s="22">
        <v>0.6</v>
      </c>
      <c r="F19" s="31">
        <f t="shared" si="1"/>
        <v>3.6324981799999998E-3</v>
      </c>
      <c r="G19" s="31">
        <f t="shared" si="2"/>
        <v>3.3941125496954281</v>
      </c>
      <c r="H19" s="52">
        <f t="shared" si="3"/>
        <v>5.7599999999999998E-2</v>
      </c>
      <c r="J19" s="22"/>
      <c r="K19" s="22"/>
      <c r="L19" s="22"/>
    </row>
    <row r="20" spans="1:28" x14ac:dyDescent="0.25">
      <c r="A20" s="17">
        <f t="shared" si="4"/>
        <v>18</v>
      </c>
      <c r="B20" s="48">
        <v>18</v>
      </c>
      <c r="C20" s="23">
        <f t="shared" si="0"/>
        <v>0.01</v>
      </c>
      <c r="D20" s="47">
        <v>1E-4</v>
      </c>
      <c r="E20" s="22">
        <v>0.6</v>
      </c>
      <c r="F20" s="31">
        <f t="shared" si="1"/>
        <v>1.8162490899999998E-5</v>
      </c>
      <c r="G20" s="31">
        <f t="shared" si="2"/>
        <v>8.485281374238571E-5</v>
      </c>
      <c r="H20" s="28">
        <f t="shared" si="3"/>
        <v>7.2000000000000008E-9</v>
      </c>
      <c r="J20" s="20" t="s">
        <v>41</v>
      </c>
      <c r="K20" s="26">
        <f>K18</f>
        <v>5.568244544783307E-3</v>
      </c>
      <c r="L20" s="22"/>
    </row>
    <row r="21" spans="1:28" x14ac:dyDescent="0.25">
      <c r="A21" s="17">
        <f t="shared" si="4"/>
        <v>19</v>
      </c>
      <c r="B21" s="48">
        <v>20</v>
      </c>
      <c r="C21" s="23">
        <f t="shared" si="0"/>
        <v>1</v>
      </c>
      <c r="D21" s="47">
        <v>1</v>
      </c>
      <c r="E21" s="22">
        <v>0.6</v>
      </c>
      <c r="F21" s="31">
        <f t="shared" si="1"/>
        <v>1.8162490899999999E-3</v>
      </c>
      <c r="G21" s="31">
        <f t="shared" si="2"/>
        <v>0.84852813742385702</v>
      </c>
      <c r="H21" s="52">
        <f t="shared" si="3"/>
        <v>7.1999999999999998E-3</v>
      </c>
      <c r="J21" s="20" t="s">
        <v>53</v>
      </c>
      <c r="K21" s="26">
        <f>L18</f>
        <v>2.5039194394737228E-6</v>
      </c>
      <c r="L21" s="22"/>
    </row>
    <row r="22" spans="1:28" ht="20.25" x14ac:dyDescent="0.25">
      <c r="A22" s="17">
        <f t="shared" si="4"/>
        <v>20</v>
      </c>
      <c r="B22" s="48">
        <v>19</v>
      </c>
      <c r="C22" s="23">
        <f t="shared" si="0"/>
        <v>0.03</v>
      </c>
      <c r="D22" s="47">
        <v>8.9999999999999998E-4</v>
      </c>
      <c r="E22" s="22">
        <v>0.6</v>
      </c>
      <c r="F22" s="31">
        <f t="shared" si="1"/>
        <v>5.4487472700000001E-5</v>
      </c>
      <c r="G22" s="31">
        <f t="shared" si="2"/>
        <v>7.6367532368147139E-4</v>
      </c>
      <c r="H22" s="28">
        <f t="shared" si="3"/>
        <v>1.9439999999999999E-7</v>
      </c>
      <c r="J22" s="33" t="s">
        <v>39</v>
      </c>
      <c r="K22" s="34">
        <f>K20*SQRT(K5)</f>
        <v>6.1101109897272569E-3</v>
      </c>
      <c r="L22" s="35" t="s">
        <v>40</v>
      </c>
      <c r="M22" s="22" t="s">
        <v>55</v>
      </c>
      <c r="N22" s="22"/>
      <c r="P22" s="46" t="s">
        <v>58</v>
      </c>
      <c r="Q22" s="46" t="s">
        <v>59</v>
      </c>
      <c r="R22" s="18"/>
    </row>
    <row r="23" spans="1:28" x14ac:dyDescent="0.25">
      <c r="G23" s="22"/>
      <c r="H23" s="22"/>
      <c r="J23" s="33" t="s">
        <v>38</v>
      </c>
      <c r="K23" s="36">
        <f>K5*K21/K6</f>
        <v>0.16599940834451418</v>
      </c>
      <c r="L23" s="35" t="s">
        <v>37</v>
      </c>
      <c r="M23" s="22" t="s">
        <v>56</v>
      </c>
      <c r="N23" s="22"/>
      <c r="P23" s="57">
        <v>100</v>
      </c>
      <c r="Q23" s="44">
        <f>$K$22*SQRT(P23)</f>
        <v>6.1101109897272569E-2</v>
      </c>
      <c r="R23" s="25" t="s">
        <v>35</v>
      </c>
    </row>
    <row r="24" spans="1:28" x14ac:dyDescent="0.25">
      <c r="Q24" s="85">
        <f>H35</f>
        <v>6.1101000000000003E-2</v>
      </c>
    </row>
    <row r="25" spans="1:28" x14ac:dyDescent="0.25">
      <c r="B25" s="13" t="s">
        <v>68</v>
      </c>
      <c r="Q25" s="59">
        <f>(Q24-Q23)/Q23</f>
        <v>-1.7986133599152347E-6</v>
      </c>
    </row>
    <row r="26" spans="1:28" x14ac:dyDescent="0.25">
      <c r="B26" t="s">
        <v>69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</row>
    <row r="27" spans="1:28" x14ac:dyDescent="0.25">
      <c r="D27" s="49">
        <v>45658</v>
      </c>
      <c r="E27" s="50">
        <v>0</v>
      </c>
      <c r="F27">
        <v>1</v>
      </c>
      <c r="G27" s="90">
        <v>1.4841E-4</v>
      </c>
      <c r="H27" s="83">
        <v>7.9933999999999997E-5</v>
      </c>
      <c r="I27" s="51">
        <v>0</v>
      </c>
    </row>
    <row r="28" spans="1:28" x14ac:dyDescent="0.25">
      <c r="D28" s="49">
        <v>45658</v>
      </c>
      <c r="E28" s="50">
        <v>0</v>
      </c>
      <c r="F28">
        <v>2</v>
      </c>
      <c r="G28" s="90">
        <v>4.1341000000000001E-4</v>
      </c>
      <c r="H28" s="83">
        <v>1.8932000000000001E-2</v>
      </c>
      <c r="I28" s="51">
        <v>0</v>
      </c>
    </row>
    <row r="29" spans="1:28" x14ac:dyDescent="0.25">
      <c r="D29" s="49">
        <v>45658</v>
      </c>
      <c r="E29" s="50">
        <v>0</v>
      </c>
      <c r="F29">
        <v>3</v>
      </c>
      <c r="G29" s="90">
        <v>99.991</v>
      </c>
      <c r="H29" s="83">
        <v>2.3276000000000002E-2</v>
      </c>
      <c r="I29" s="51">
        <v>0</v>
      </c>
    </row>
    <row r="30" spans="1:28" x14ac:dyDescent="0.25">
      <c r="D30" s="49">
        <v>45658</v>
      </c>
      <c r="E30" s="50">
        <v>0</v>
      </c>
      <c r="F30">
        <v>4</v>
      </c>
      <c r="G30" s="90">
        <v>1.4841E-4</v>
      </c>
      <c r="H30" s="83">
        <v>1.1343000000000001E-2</v>
      </c>
      <c r="I30" s="51">
        <v>0</v>
      </c>
    </row>
    <row r="31" spans="1:28" x14ac:dyDescent="0.25">
      <c r="D31" s="49">
        <v>45658</v>
      </c>
      <c r="E31" s="50">
        <v>0</v>
      </c>
      <c r="F31">
        <v>5</v>
      </c>
      <c r="G31" s="90">
        <v>4.1341000000000001E-4</v>
      </c>
      <c r="H31" s="83">
        <v>1.8932000000000001E-2</v>
      </c>
      <c r="I31" s="51">
        <v>0</v>
      </c>
    </row>
    <row r="32" spans="1:28" x14ac:dyDescent="0.25">
      <c r="D32" s="49">
        <v>45658</v>
      </c>
      <c r="E32" s="50">
        <v>0</v>
      </c>
      <c r="F32">
        <v>6</v>
      </c>
      <c r="G32" s="90">
        <v>99.991</v>
      </c>
      <c r="H32" s="83">
        <v>3.3517999999999999E-2</v>
      </c>
      <c r="I32" s="51">
        <v>0</v>
      </c>
    </row>
    <row r="33" spans="4:9" x14ac:dyDescent="0.25">
      <c r="D33" s="49">
        <v>45658</v>
      </c>
      <c r="E33" s="50">
        <v>0</v>
      </c>
      <c r="F33">
        <v>7</v>
      </c>
      <c r="G33" s="90">
        <v>1.4841E-4</v>
      </c>
      <c r="H33" s="83">
        <v>4.5372000000000003E-2</v>
      </c>
      <c r="I33" s="51">
        <v>0</v>
      </c>
    </row>
    <row r="34" spans="4:9" x14ac:dyDescent="0.25">
      <c r="D34" s="49">
        <v>45658</v>
      </c>
      <c r="E34" s="50">
        <v>0</v>
      </c>
      <c r="F34">
        <v>8</v>
      </c>
      <c r="G34" s="90">
        <v>4.1341000000000001E-4</v>
      </c>
      <c r="H34" s="83">
        <v>1.8932000000000001E-2</v>
      </c>
      <c r="I34" s="51">
        <v>0</v>
      </c>
    </row>
    <row r="35" spans="4:9" x14ac:dyDescent="0.25">
      <c r="D35" s="49">
        <v>45658</v>
      </c>
      <c r="E35" s="50">
        <v>0</v>
      </c>
      <c r="F35">
        <v>9</v>
      </c>
      <c r="G35" s="90">
        <v>4.3062999999999999E-3</v>
      </c>
      <c r="H35" s="84">
        <v>6.1101000000000003E-2</v>
      </c>
      <c r="I35" s="51">
        <v>0</v>
      </c>
    </row>
    <row r="36" spans="4:9" x14ac:dyDescent="0.25">
      <c r="D36" s="49">
        <v>45658</v>
      </c>
      <c r="E36" s="50">
        <v>0</v>
      </c>
      <c r="F36">
        <v>10</v>
      </c>
      <c r="G36" s="90">
        <v>1.677E-6</v>
      </c>
      <c r="H36" s="83">
        <v>9.0326000000000002E-4</v>
      </c>
      <c r="I36" s="51">
        <v>0</v>
      </c>
    </row>
    <row r="37" spans="4:9" x14ac:dyDescent="0.25">
      <c r="D37" s="49">
        <v>45658</v>
      </c>
      <c r="E37" s="50">
        <v>0</v>
      </c>
      <c r="F37">
        <v>11</v>
      </c>
      <c r="G37" s="90">
        <v>94.11</v>
      </c>
      <c r="H37" s="83">
        <v>9.0326000000000002E-4</v>
      </c>
      <c r="I37" s="51">
        <v>0</v>
      </c>
    </row>
    <row r="38" spans="4:9" x14ac:dyDescent="0.25">
      <c r="D38" s="49">
        <v>45658</v>
      </c>
      <c r="E38" s="50">
        <v>0</v>
      </c>
      <c r="F38">
        <v>12</v>
      </c>
      <c r="G38" s="90">
        <v>1.677E-6</v>
      </c>
      <c r="H38" s="83">
        <v>9.0326000000000002E-4</v>
      </c>
      <c r="I38" s="51">
        <v>0</v>
      </c>
    </row>
    <row r="39" spans="4:9" x14ac:dyDescent="0.25">
      <c r="D39" s="49">
        <v>45658</v>
      </c>
      <c r="E39" s="50">
        <v>0</v>
      </c>
      <c r="F39">
        <v>13</v>
      </c>
      <c r="G39" s="90">
        <v>5.8818999999999999</v>
      </c>
      <c r="H39" s="83">
        <v>9.0326000000000002E-4</v>
      </c>
      <c r="I39" s="51">
        <v>0</v>
      </c>
    </row>
    <row r="40" spans="4:9" x14ac:dyDescent="0.25">
      <c r="D40" s="49">
        <v>45658</v>
      </c>
      <c r="E40" s="50">
        <v>0</v>
      </c>
      <c r="F40">
        <v>14</v>
      </c>
      <c r="G40" s="90">
        <v>2.0963000000000001E-7</v>
      </c>
      <c r="H40" s="83">
        <v>9.0326000000000002E-4</v>
      </c>
      <c r="I40" s="51">
        <v>0</v>
      </c>
    </row>
    <row r="41" spans="4:9" x14ac:dyDescent="0.25">
      <c r="D41" s="49">
        <v>45658</v>
      </c>
      <c r="E41" s="50">
        <v>0</v>
      </c>
      <c r="F41">
        <v>15</v>
      </c>
      <c r="G41" s="90">
        <v>-4.3062999999999999E-3</v>
      </c>
      <c r="H41" s="84">
        <v>-6.1101000000000003E-2</v>
      </c>
      <c r="I41" s="51">
        <v>0</v>
      </c>
    </row>
    <row r="42" spans="4:9" x14ac:dyDescent="0.25">
      <c r="D42" s="49">
        <v>45658</v>
      </c>
      <c r="E42" s="50">
        <v>0</v>
      </c>
      <c r="F42">
        <v>16</v>
      </c>
      <c r="G42" s="90">
        <v>7.0207000000000004E-7</v>
      </c>
      <c r="H42" s="83">
        <v>3.0251000000000002E-3</v>
      </c>
      <c r="I42" s="51">
        <v>0</v>
      </c>
    </row>
    <row r="43" spans="4:9" x14ac:dyDescent="0.25">
      <c r="D43" s="49">
        <v>45658</v>
      </c>
      <c r="E43" s="50">
        <v>0</v>
      </c>
      <c r="F43">
        <v>17</v>
      </c>
      <c r="G43" s="90">
        <v>83.498000000000005</v>
      </c>
      <c r="H43" s="83">
        <v>3.4033000000000002E-3</v>
      </c>
      <c r="I43" s="51">
        <v>0</v>
      </c>
    </row>
    <row r="44" spans="4:9" x14ac:dyDescent="0.25">
      <c r="D44" s="49">
        <v>45658</v>
      </c>
      <c r="E44" s="50">
        <v>0</v>
      </c>
      <c r="F44">
        <v>18</v>
      </c>
      <c r="G44" s="90">
        <v>7.0207000000000004E-7</v>
      </c>
      <c r="H44" s="83">
        <v>3.7814E-10</v>
      </c>
      <c r="I44" s="51">
        <v>0</v>
      </c>
    </row>
    <row r="45" spans="4:9" x14ac:dyDescent="0.25">
      <c r="D45" s="49">
        <v>45658</v>
      </c>
      <c r="E45" s="50">
        <v>0</v>
      </c>
      <c r="F45">
        <v>19</v>
      </c>
      <c r="G45" s="90">
        <v>16.492999999999999</v>
      </c>
      <c r="H45" s="83">
        <v>3.4033000000000002E-3</v>
      </c>
      <c r="I45" s="51">
        <v>0</v>
      </c>
    </row>
    <row r="46" spans="4:9" x14ac:dyDescent="0.25">
      <c r="D46" s="49">
        <v>45658</v>
      </c>
      <c r="E46" s="50">
        <v>0</v>
      </c>
      <c r="F46">
        <v>20</v>
      </c>
      <c r="G46" s="90">
        <v>7.0207000000000004E-7</v>
      </c>
      <c r="H46" s="83">
        <v>3.7814000000000001E-4</v>
      </c>
      <c r="I46" s="51">
        <v>0</v>
      </c>
    </row>
    <row r="47" spans="4:9" x14ac:dyDescent="0.25">
      <c r="G47" s="51"/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338B-6DCE-4A5B-9E6C-F5E1C30B6AFF}">
  <dimension ref="A1:AK38"/>
  <sheetViews>
    <sheetView tabSelected="1" workbookViewId="0">
      <selection activeCell="U6" sqref="U6"/>
    </sheetView>
  </sheetViews>
  <sheetFormatPr defaultRowHeight="15" x14ac:dyDescent="0.25"/>
  <cols>
    <col min="2" max="2" width="7.140625" bestFit="1" customWidth="1"/>
    <col min="3" max="3" width="4.5703125" bestFit="1" customWidth="1"/>
    <col min="4" max="4" width="9" bestFit="1" customWidth="1"/>
    <col min="5" max="5" width="12" bestFit="1" customWidth="1"/>
    <col min="6" max="6" width="8.5703125" bestFit="1" customWidth="1"/>
    <col min="8" max="8" width="12.7109375" bestFit="1" customWidth="1"/>
    <col min="9" max="9" width="11.28515625" customWidth="1"/>
    <col min="10" max="10" width="3" bestFit="1" customWidth="1"/>
    <col min="11" max="11" width="12.28515625" bestFit="1" customWidth="1"/>
    <col min="12" max="12" width="9" bestFit="1" customWidth="1"/>
    <col min="13" max="13" width="11.28515625" bestFit="1" customWidth="1"/>
    <col min="14" max="14" width="12.28515625" bestFit="1" customWidth="1"/>
    <col min="15" max="15" width="14.85546875" bestFit="1" customWidth="1"/>
    <col min="16" max="16" width="7.85546875" bestFit="1" customWidth="1"/>
    <col min="17" max="18" width="7.85546875" customWidth="1"/>
    <col min="19" max="19" width="9.5703125" bestFit="1" customWidth="1"/>
    <col min="20" max="20" width="14.140625" bestFit="1" customWidth="1"/>
    <col min="21" max="22" width="7.85546875" customWidth="1"/>
    <col min="23" max="23" width="60.42578125" customWidth="1"/>
    <col min="24" max="24" width="7.42578125" bestFit="1" customWidth="1"/>
    <col min="25" max="25" width="3" bestFit="1" customWidth="1"/>
    <col min="26" max="26" width="3.5703125" bestFit="1" customWidth="1"/>
    <col min="27" max="27" width="3" bestFit="1" customWidth="1"/>
    <col min="28" max="28" width="3.7109375" bestFit="1" customWidth="1"/>
    <col min="29" max="29" width="3.140625" bestFit="1" customWidth="1"/>
    <col min="30" max="30" width="9" bestFit="1" customWidth="1"/>
    <col min="31" max="31" width="8.5703125" bestFit="1" customWidth="1"/>
    <col min="32" max="32" width="3.28515625" bestFit="1" customWidth="1"/>
    <col min="33" max="33" width="9.28515625" bestFit="1" customWidth="1"/>
    <col min="34" max="34" width="8.5703125" bestFit="1" customWidth="1"/>
    <col min="35" max="35" width="8.28515625" bestFit="1" customWidth="1"/>
    <col min="36" max="36" width="5.7109375" bestFit="1" customWidth="1"/>
    <col min="37" max="37" width="5.140625" bestFit="1" customWidth="1"/>
  </cols>
  <sheetData>
    <row r="1" spans="1:37" x14ac:dyDescent="0.25">
      <c r="A1" s="70" t="s">
        <v>70</v>
      </c>
      <c r="B1" s="71"/>
      <c r="C1" s="71"/>
      <c r="D1" s="71"/>
      <c r="E1" s="71"/>
      <c r="F1" s="71"/>
      <c r="G1" s="71"/>
      <c r="H1" s="71"/>
      <c r="I1" s="70" t="s">
        <v>137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7" x14ac:dyDescent="0.25">
      <c r="I2" t="s">
        <v>88</v>
      </c>
      <c r="W2" s="60" t="s">
        <v>71</v>
      </c>
    </row>
    <row r="3" spans="1:37" x14ac:dyDescent="0.25">
      <c r="A3" s="21" t="s">
        <v>62</v>
      </c>
      <c r="B3" s="21" t="s">
        <v>63</v>
      </c>
      <c r="C3" s="21" t="s">
        <v>64</v>
      </c>
      <c r="D3" s="21" t="s">
        <v>65</v>
      </c>
      <c r="E3" s="21" t="s">
        <v>66</v>
      </c>
      <c r="F3" s="21" t="s">
        <v>67</v>
      </c>
      <c r="G3" s="21"/>
      <c r="H3" s="21"/>
      <c r="I3" s="21"/>
      <c r="J3" s="21" t="s">
        <v>91</v>
      </c>
      <c r="K3" s="21" t="s">
        <v>106</v>
      </c>
      <c r="L3" s="21" t="s">
        <v>107</v>
      </c>
      <c r="M3" s="21" t="s">
        <v>108</v>
      </c>
      <c r="N3" s="21" t="s">
        <v>109</v>
      </c>
      <c r="O3" s="21" t="s">
        <v>110</v>
      </c>
      <c r="P3" s="21" t="s">
        <v>111</v>
      </c>
      <c r="S3" s="21" t="s">
        <v>146</v>
      </c>
      <c r="T3" s="21" t="s">
        <v>147</v>
      </c>
      <c r="W3" s="60"/>
    </row>
    <row r="4" spans="1:37" x14ac:dyDescent="0.25">
      <c r="A4" s="61">
        <v>45658</v>
      </c>
      <c r="B4" s="62">
        <v>0</v>
      </c>
      <c r="C4" s="72">
        <v>1</v>
      </c>
      <c r="D4" s="63">
        <v>1.4841E-4</v>
      </c>
      <c r="E4" s="81">
        <v>7.9933999999999997E-5</v>
      </c>
      <c r="F4" s="63">
        <v>0</v>
      </c>
      <c r="G4" s="21"/>
      <c r="I4" s="91"/>
      <c r="J4" s="72">
        <v>1</v>
      </c>
      <c r="K4" s="81">
        <v>7.9933799999999997E-5</v>
      </c>
      <c r="L4" s="94">
        <v>1.4840799999999999E-4</v>
      </c>
      <c r="M4" s="21">
        <v>1.2040999999999999</v>
      </c>
      <c r="N4" s="63">
        <v>0</v>
      </c>
      <c r="O4" s="63">
        <v>0</v>
      </c>
      <c r="P4" s="21" t="s">
        <v>112</v>
      </c>
      <c r="R4" s="58">
        <f>(K4-E4)/E4</f>
        <v>-2.5020642029729343E-6</v>
      </c>
      <c r="S4" s="94">
        <f>ABS(L4)</f>
        <v>1.4840799999999999E-4</v>
      </c>
      <c r="T4" s="95">
        <f>SUM(S12,S4,S6,S5,S18)</f>
        <v>99.999974444999992</v>
      </c>
      <c r="U4" s="58"/>
      <c r="W4" s="60" t="s">
        <v>72</v>
      </c>
    </row>
    <row r="5" spans="1:37" x14ac:dyDescent="0.25">
      <c r="A5" s="61">
        <v>45658</v>
      </c>
      <c r="B5" s="62">
        <v>0</v>
      </c>
      <c r="C5" s="72">
        <v>2</v>
      </c>
      <c r="D5" s="63">
        <v>4.1341000000000001E-4</v>
      </c>
      <c r="E5" s="81">
        <v>1.8932000000000001E-2</v>
      </c>
      <c r="F5" s="63">
        <v>0</v>
      </c>
      <c r="G5" s="21"/>
      <c r="I5" s="92"/>
      <c r="J5" s="72">
        <v>2</v>
      </c>
      <c r="K5" s="81">
        <v>1.89315E-2</v>
      </c>
      <c r="L5" s="94">
        <v>4.1340700000000002E-4</v>
      </c>
      <c r="M5" s="21">
        <v>1.2040999999999999</v>
      </c>
      <c r="N5" s="63">
        <v>0</v>
      </c>
      <c r="O5" s="63">
        <v>0</v>
      </c>
      <c r="P5" s="21" t="s">
        <v>113</v>
      </c>
      <c r="R5" s="58">
        <f>(K5-E5)/E5</f>
        <v>-2.6410310585278893E-5</v>
      </c>
      <c r="S5" s="94">
        <f>ABS(L5)</f>
        <v>4.1340700000000002E-4</v>
      </c>
      <c r="T5" s="96">
        <f>(T4-100)/100</f>
        <v>-2.5555000007670967E-7</v>
      </c>
      <c r="U5" s="58"/>
      <c r="W5" s="60"/>
    </row>
    <row r="6" spans="1:37" x14ac:dyDescent="0.25">
      <c r="A6" s="61">
        <v>45658</v>
      </c>
      <c r="B6" s="62">
        <v>0</v>
      </c>
      <c r="C6" s="72">
        <v>3</v>
      </c>
      <c r="D6" s="63">
        <v>99.991</v>
      </c>
      <c r="E6" s="81">
        <v>2.3276000000000002E-2</v>
      </c>
      <c r="F6" s="63">
        <v>0</v>
      </c>
      <c r="G6" s="21"/>
      <c r="I6" s="21"/>
      <c r="J6" s="72">
        <v>3</v>
      </c>
      <c r="K6" s="81">
        <v>2.3276499999999999E-2</v>
      </c>
      <c r="L6" s="94">
        <v>99.990799999999993</v>
      </c>
      <c r="M6" s="21">
        <v>1.2040999999999999</v>
      </c>
      <c r="N6" s="63">
        <v>0</v>
      </c>
      <c r="O6" s="63">
        <v>0</v>
      </c>
      <c r="P6" s="21" t="s">
        <v>114</v>
      </c>
      <c r="R6" s="58">
        <f>(K6-E6)/E6</f>
        <v>2.148135418444022E-5</v>
      </c>
      <c r="S6" s="94">
        <f>ABS(L6)</f>
        <v>99.990799999999993</v>
      </c>
      <c r="T6" s="95"/>
      <c r="U6" s="58"/>
      <c r="W6" s="60" t="s">
        <v>73</v>
      </c>
    </row>
    <row r="7" spans="1:37" x14ac:dyDescent="0.25">
      <c r="A7" s="61">
        <v>45658</v>
      </c>
      <c r="B7" s="62">
        <v>0</v>
      </c>
      <c r="C7" s="72">
        <v>4</v>
      </c>
      <c r="D7" s="63">
        <v>1.4841E-4</v>
      </c>
      <c r="E7" s="81">
        <v>1.1343000000000001E-2</v>
      </c>
      <c r="F7" s="63">
        <v>0</v>
      </c>
      <c r="G7" s="21"/>
      <c r="I7" s="91"/>
      <c r="J7" s="72">
        <v>4</v>
      </c>
      <c r="K7" s="81">
        <v>1.13429E-2</v>
      </c>
      <c r="L7" s="94">
        <v>1.4840799999999999E-4</v>
      </c>
      <c r="M7" s="21">
        <v>1.2040999999999999</v>
      </c>
      <c r="N7" s="63">
        <v>0</v>
      </c>
      <c r="O7" s="63">
        <v>0</v>
      </c>
      <c r="P7" s="21" t="s">
        <v>112</v>
      </c>
      <c r="R7" s="58">
        <f>(K7-E7)/E7</f>
        <v>-8.8160098740316358E-6</v>
      </c>
      <c r="S7" s="94">
        <f>ABS(L7)</f>
        <v>1.4840799999999999E-4</v>
      </c>
      <c r="T7" s="95">
        <f>SUM(S12,S7,S9,S8,S18)</f>
        <v>99.999974444999992</v>
      </c>
      <c r="U7" s="58"/>
      <c r="W7" s="60"/>
      <c r="Y7" s="87" t="s">
        <v>138</v>
      </c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9"/>
    </row>
    <row r="8" spans="1:37" x14ac:dyDescent="0.25">
      <c r="A8" s="61">
        <v>45658</v>
      </c>
      <c r="B8" s="62">
        <v>0</v>
      </c>
      <c r="C8" s="72">
        <v>5</v>
      </c>
      <c r="D8" s="63">
        <v>4.1341000000000001E-4</v>
      </c>
      <c r="E8" s="81">
        <v>1.8932000000000001E-2</v>
      </c>
      <c r="F8" s="63">
        <v>0</v>
      </c>
      <c r="G8" s="21"/>
      <c r="I8" s="92"/>
      <c r="J8" s="72">
        <v>5</v>
      </c>
      <c r="K8" s="81">
        <v>1.89315E-2</v>
      </c>
      <c r="L8" s="94">
        <v>4.1340700000000002E-4</v>
      </c>
      <c r="M8" s="21">
        <v>1.2040999999999999</v>
      </c>
      <c r="N8" s="63">
        <v>0</v>
      </c>
      <c r="O8" s="63">
        <v>0</v>
      </c>
      <c r="P8" s="21" t="s">
        <v>113</v>
      </c>
      <c r="R8" s="58">
        <f>(K8-E8)/E8</f>
        <v>-2.6410310585278893E-5</v>
      </c>
      <c r="S8" s="94">
        <f>ABS(L8)</f>
        <v>4.1340700000000002E-4</v>
      </c>
      <c r="T8" s="96">
        <f>(T7-100)/100</f>
        <v>-2.5555000007670967E-7</v>
      </c>
      <c r="U8" s="58"/>
      <c r="W8" s="60" t="s">
        <v>74</v>
      </c>
      <c r="X8" t="s">
        <v>136</v>
      </c>
      <c r="Y8" s="78" t="s">
        <v>91</v>
      </c>
      <c r="Z8" s="79" t="s">
        <v>125</v>
      </c>
      <c r="AA8" s="79" t="s">
        <v>126</v>
      </c>
      <c r="AB8" s="79" t="s">
        <v>127</v>
      </c>
      <c r="AC8" s="79" t="s">
        <v>11</v>
      </c>
      <c r="AD8" s="79" t="s">
        <v>128</v>
      </c>
      <c r="AE8" s="79" t="s">
        <v>129</v>
      </c>
      <c r="AF8" s="79" t="s">
        <v>130</v>
      </c>
      <c r="AG8" s="79" t="s">
        <v>131</v>
      </c>
      <c r="AH8" s="79" t="s">
        <v>132</v>
      </c>
      <c r="AI8" s="79" t="s">
        <v>133</v>
      </c>
      <c r="AJ8" s="79" t="s">
        <v>134</v>
      </c>
      <c r="AK8" s="80" t="s">
        <v>135</v>
      </c>
    </row>
    <row r="9" spans="1:37" x14ac:dyDescent="0.25">
      <c r="A9" s="61">
        <v>45658</v>
      </c>
      <c r="B9" s="62">
        <v>0</v>
      </c>
      <c r="C9" s="72">
        <v>6</v>
      </c>
      <c r="D9" s="63">
        <v>99.991</v>
      </c>
      <c r="E9" s="81">
        <v>3.3517999999999999E-2</v>
      </c>
      <c r="F9" s="63">
        <v>0</v>
      </c>
      <c r="G9" s="21"/>
      <c r="I9" s="21"/>
      <c r="J9" s="72">
        <v>6</v>
      </c>
      <c r="K9" s="81">
        <v>3.3518100000000002E-2</v>
      </c>
      <c r="L9" s="94">
        <v>99.990799999999993</v>
      </c>
      <c r="M9" s="21">
        <v>1.2040999999999999</v>
      </c>
      <c r="N9" s="63">
        <v>0</v>
      </c>
      <c r="O9" s="63">
        <v>0</v>
      </c>
      <c r="P9" s="21" t="s">
        <v>114</v>
      </c>
      <c r="R9" s="58">
        <f>(K9-E9)/E9</f>
        <v>2.9834715676017532E-6</v>
      </c>
      <c r="S9" s="94">
        <f>ABS(L9)</f>
        <v>99.990799999999993</v>
      </c>
      <c r="T9" s="97"/>
      <c r="U9" s="58"/>
      <c r="W9" s="60" t="s">
        <v>75</v>
      </c>
      <c r="X9" s="69">
        <v>1</v>
      </c>
      <c r="Y9" s="73">
        <v>1</v>
      </c>
      <c r="Z9" s="5">
        <v>2</v>
      </c>
      <c r="AA9" s="5">
        <v>4</v>
      </c>
      <c r="AB9" s="5">
        <v>20</v>
      </c>
      <c r="AC9" s="5">
        <v>20</v>
      </c>
      <c r="AD9" s="5">
        <v>0.01</v>
      </c>
      <c r="AE9" s="74">
        <v>1</v>
      </c>
      <c r="AF9" s="5">
        <v>1</v>
      </c>
      <c r="AG9" s="74">
        <v>0</v>
      </c>
      <c r="AH9" s="74">
        <v>8.4852999999999994E-3</v>
      </c>
      <c r="AI9" s="74">
        <v>8.1242999999999994E-6</v>
      </c>
      <c r="AJ9" s="5">
        <v>0</v>
      </c>
      <c r="AK9" s="75">
        <v>0</v>
      </c>
    </row>
    <row r="10" spans="1:37" x14ac:dyDescent="0.25">
      <c r="A10" s="61">
        <v>45658</v>
      </c>
      <c r="B10" s="62">
        <v>0</v>
      </c>
      <c r="C10" s="72">
        <v>7</v>
      </c>
      <c r="D10" s="63">
        <v>1.4841E-4</v>
      </c>
      <c r="E10" s="81">
        <v>4.5372000000000003E-2</v>
      </c>
      <c r="F10" s="63">
        <v>0</v>
      </c>
      <c r="G10" s="21"/>
      <c r="I10" s="91"/>
      <c r="J10" s="72">
        <v>7</v>
      </c>
      <c r="K10" s="81">
        <v>4.5371700000000001E-2</v>
      </c>
      <c r="L10" s="94">
        <v>1.4840799999999999E-4</v>
      </c>
      <c r="M10" s="21">
        <v>1.2040999999999999</v>
      </c>
      <c r="N10" s="63">
        <v>0</v>
      </c>
      <c r="O10" s="63">
        <v>0</v>
      </c>
      <c r="P10" s="21" t="s">
        <v>112</v>
      </c>
      <c r="R10" s="58">
        <f>(K10-E10)/E10</f>
        <v>-6.6120074054854931E-6</v>
      </c>
      <c r="S10" s="94">
        <f>ABS(L10)</f>
        <v>1.4840799999999999E-4</v>
      </c>
      <c r="T10" s="97">
        <f>SUM(S12,S10,S9,S11,S18)</f>
        <v>99.999974444999992</v>
      </c>
      <c r="U10" s="58"/>
      <c r="W10" s="60" t="s">
        <v>76</v>
      </c>
      <c r="X10" s="69">
        <v>2</v>
      </c>
      <c r="Y10" s="73">
        <v>4</v>
      </c>
      <c r="Z10" s="5">
        <v>2</v>
      </c>
      <c r="AA10" s="5">
        <v>4</v>
      </c>
      <c r="AB10" s="5">
        <v>20</v>
      </c>
      <c r="AC10" s="5">
        <v>20</v>
      </c>
      <c r="AD10" s="5">
        <v>1</v>
      </c>
      <c r="AE10" s="74">
        <v>1</v>
      </c>
      <c r="AF10" s="5">
        <v>1</v>
      </c>
      <c r="AG10" s="74">
        <v>0</v>
      </c>
      <c r="AH10" s="74">
        <v>0.84853000000000001</v>
      </c>
      <c r="AI10" s="74">
        <v>8.1242999999999992E-3</v>
      </c>
      <c r="AJ10" s="5">
        <v>0</v>
      </c>
      <c r="AK10" s="75">
        <v>0</v>
      </c>
    </row>
    <row r="11" spans="1:37" x14ac:dyDescent="0.25">
      <c r="A11" s="61">
        <v>45658</v>
      </c>
      <c r="B11" s="62">
        <v>0</v>
      </c>
      <c r="C11" s="72">
        <v>8</v>
      </c>
      <c r="D11" s="63">
        <v>4.1341000000000001E-4</v>
      </c>
      <c r="E11" s="81">
        <v>1.8932000000000001E-2</v>
      </c>
      <c r="F11" s="63">
        <v>0</v>
      </c>
      <c r="G11" s="21"/>
      <c r="I11" s="92"/>
      <c r="J11" s="72">
        <v>8</v>
      </c>
      <c r="K11" s="81">
        <v>1.89315E-2</v>
      </c>
      <c r="L11" s="94">
        <v>4.1340700000000002E-4</v>
      </c>
      <c r="M11" s="21">
        <v>1.2040999999999999</v>
      </c>
      <c r="N11" s="63">
        <v>0</v>
      </c>
      <c r="O11" s="63">
        <v>0</v>
      </c>
      <c r="P11" s="21" t="s">
        <v>113</v>
      </c>
      <c r="R11" s="58">
        <f>(K11-E11)/E11</f>
        <v>-2.6410310585278893E-5</v>
      </c>
      <c r="S11" s="94">
        <f>ABS(L11)</f>
        <v>4.1340700000000002E-4</v>
      </c>
      <c r="T11" s="96">
        <f>(T10-100)/100</f>
        <v>-2.5555000007670967E-7</v>
      </c>
      <c r="U11" s="58"/>
      <c r="W11" s="60" t="s">
        <v>77</v>
      </c>
      <c r="X11" s="69">
        <v>3</v>
      </c>
      <c r="Y11" s="73">
        <v>7</v>
      </c>
      <c r="Z11" s="5">
        <v>2</v>
      </c>
      <c r="AA11" s="5">
        <v>4</v>
      </c>
      <c r="AB11" s="5">
        <v>20</v>
      </c>
      <c r="AC11" s="5">
        <v>20</v>
      </c>
      <c r="AD11" s="5">
        <v>4</v>
      </c>
      <c r="AE11" s="74">
        <v>1</v>
      </c>
      <c r="AF11" s="5">
        <v>1</v>
      </c>
      <c r="AG11" s="74">
        <v>0</v>
      </c>
      <c r="AH11" s="74">
        <v>3.3940999999999999</v>
      </c>
      <c r="AI11" s="74">
        <v>6.4994999999999997E-2</v>
      </c>
      <c r="AJ11" s="5">
        <v>0</v>
      </c>
      <c r="AK11" s="75">
        <v>0</v>
      </c>
    </row>
    <row r="12" spans="1:37" x14ac:dyDescent="0.25">
      <c r="A12" s="61">
        <v>45658</v>
      </c>
      <c r="B12" s="62">
        <v>0</v>
      </c>
      <c r="C12" s="72">
        <v>9</v>
      </c>
      <c r="D12" s="63">
        <v>4.3062999999999999E-3</v>
      </c>
      <c r="E12" s="82">
        <v>6.1101000000000003E-2</v>
      </c>
      <c r="F12" s="63">
        <v>0</v>
      </c>
      <c r="G12" s="21"/>
      <c r="I12" s="21"/>
      <c r="J12" s="72">
        <v>9</v>
      </c>
      <c r="K12" s="82">
        <v>6.1101099999999998E-2</v>
      </c>
      <c r="L12" s="94">
        <v>4.3062999999999999E-3</v>
      </c>
      <c r="M12" s="21">
        <v>1.2040999999999999</v>
      </c>
      <c r="N12" s="63">
        <v>0</v>
      </c>
      <c r="O12" s="63">
        <v>0</v>
      </c>
      <c r="P12" s="21" t="s">
        <v>115</v>
      </c>
      <c r="R12" s="58">
        <f>(K12-E12)/E12</f>
        <v>1.636634424901993E-6</v>
      </c>
      <c r="S12" s="94">
        <f>ABS(L12)</f>
        <v>4.3062999999999999E-3</v>
      </c>
      <c r="T12" s="97"/>
      <c r="U12" s="58"/>
      <c r="W12" s="60" t="s">
        <v>78</v>
      </c>
      <c r="X12" s="69">
        <v>4</v>
      </c>
      <c r="Y12" s="73">
        <v>3</v>
      </c>
      <c r="Z12" s="5">
        <v>3</v>
      </c>
      <c r="AA12" s="5">
        <v>2</v>
      </c>
      <c r="AB12" s="5">
        <v>20</v>
      </c>
      <c r="AC12" s="5">
        <v>20</v>
      </c>
      <c r="AD12" s="5">
        <v>2.5000000000000001E-3</v>
      </c>
      <c r="AE12" s="74">
        <v>1</v>
      </c>
      <c r="AF12" s="5">
        <v>1</v>
      </c>
      <c r="AG12" s="74">
        <v>0</v>
      </c>
      <c r="AH12" s="74">
        <v>2.1213E-3</v>
      </c>
      <c r="AI12" s="74">
        <v>1.0155000000000001E-6</v>
      </c>
      <c r="AJ12" s="5">
        <v>0</v>
      </c>
      <c r="AK12" s="75">
        <v>0</v>
      </c>
    </row>
    <row r="13" spans="1:37" x14ac:dyDescent="0.25">
      <c r="A13" s="61">
        <v>45658</v>
      </c>
      <c r="B13" s="62">
        <v>0</v>
      </c>
      <c r="C13" s="72">
        <v>10</v>
      </c>
      <c r="D13" s="63">
        <v>1.677E-6</v>
      </c>
      <c r="E13" s="81">
        <v>9.0326000000000002E-4</v>
      </c>
      <c r="F13" s="63">
        <v>0</v>
      </c>
      <c r="G13" s="21"/>
      <c r="I13" s="93"/>
      <c r="J13" s="72">
        <v>10</v>
      </c>
      <c r="K13" s="81">
        <v>9.0326200000000005E-4</v>
      </c>
      <c r="L13" s="94">
        <v>1.67703E-6</v>
      </c>
      <c r="M13" s="21">
        <v>1.2040999999999999</v>
      </c>
      <c r="N13" s="63">
        <v>0</v>
      </c>
      <c r="O13" s="63">
        <v>0</v>
      </c>
      <c r="P13" s="21" t="s">
        <v>116</v>
      </c>
      <c r="R13" s="58">
        <f>(K13-E13)/E13</f>
        <v>2.2142018909632778E-6</v>
      </c>
      <c r="S13" s="94">
        <f>ABS(L13)</f>
        <v>1.67703E-6</v>
      </c>
      <c r="T13" s="98">
        <f>SUM($S$14,$S$18,S12,S13,S15,S16,S17)</f>
        <v>99.999966193687996</v>
      </c>
      <c r="U13" s="58"/>
      <c r="W13" s="60" t="s">
        <v>79</v>
      </c>
      <c r="X13" s="69">
        <v>5</v>
      </c>
      <c r="Y13" s="73">
        <v>6</v>
      </c>
      <c r="Z13" s="5">
        <v>3</v>
      </c>
      <c r="AA13" s="5">
        <v>2</v>
      </c>
      <c r="AB13" s="5">
        <v>20</v>
      </c>
      <c r="AC13" s="5">
        <v>20</v>
      </c>
      <c r="AD13" s="5">
        <v>3.5999999999999999E-3</v>
      </c>
      <c r="AE13" s="74">
        <v>1</v>
      </c>
      <c r="AF13" s="5">
        <v>1</v>
      </c>
      <c r="AG13" s="74">
        <v>0</v>
      </c>
      <c r="AH13" s="74">
        <v>3.0547E-3</v>
      </c>
      <c r="AI13" s="74">
        <v>1.7548999999999999E-6</v>
      </c>
      <c r="AJ13" s="5">
        <v>0</v>
      </c>
      <c r="AK13" s="75">
        <v>0</v>
      </c>
    </row>
    <row r="14" spans="1:37" x14ac:dyDescent="0.25">
      <c r="A14" s="61">
        <v>45658</v>
      </c>
      <c r="B14" s="62">
        <v>0</v>
      </c>
      <c r="C14" s="72">
        <v>11</v>
      </c>
      <c r="D14" s="63">
        <v>94.11</v>
      </c>
      <c r="E14" s="81">
        <v>9.0326000000000002E-4</v>
      </c>
      <c r="F14" s="63">
        <v>0</v>
      </c>
      <c r="G14" s="21"/>
      <c r="I14" s="92"/>
      <c r="J14" s="72">
        <v>11</v>
      </c>
      <c r="K14" s="81">
        <v>9.0326200000000005E-4</v>
      </c>
      <c r="L14" s="94">
        <v>94.109499999999997</v>
      </c>
      <c r="M14" s="21">
        <v>1.2040999999999999</v>
      </c>
      <c r="N14" s="63">
        <v>0</v>
      </c>
      <c r="O14" s="63">
        <v>0</v>
      </c>
      <c r="P14" s="21" t="s">
        <v>117</v>
      </c>
      <c r="R14" s="58">
        <f>(K14-E14)/E14</f>
        <v>2.2142018909632778E-6</v>
      </c>
      <c r="S14" s="94">
        <f>ABS(L14)</f>
        <v>94.109499999999997</v>
      </c>
      <c r="T14" s="96">
        <f>(T13-100)/100</f>
        <v>-3.3806312004003304E-7</v>
      </c>
      <c r="U14" s="58"/>
      <c r="W14" s="60" t="s">
        <v>80</v>
      </c>
      <c r="X14" s="69">
        <v>6</v>
      </c>
      <c r="Y14" s="73">
        <v>2</v>
      </c>
      <c r="Z14" s="5">
        <v>9</v>
      </c>
      <c r="AA14" s="5">
        <v>3</v>
      </c>
      <c r="AB14" s="5">
        <v>20</v>
      </c>
      <c r="AC14" s="5">
        <v>20</v>
      </c>
      <c r="AD14" s="5">
        <v>1</v>
      </c>
      <c r="AE14" s="74">
        <v>1</v>
      </c>
      <c r="AF14" s="5">
        <v>1</v>
      </c>
      <c r="AG14" s="74">
        <v>0</v>
      </c>
      <c r="AH14" s="74">
        <v>0.84853000000000001</v>
      </c>
      <c r="AI14" s="74">
        <v>8.1242999999999992E-3</v>
      </c>
      <c r="AJ14" s="5">
        <v>0</v>
      </c>
      <c r="AK14" s="75">
        <v>0</v>
      </c>
    </row>
    <row r="15" spans="1:37" x14ac:dyDescent="0.25">
      <c r="A15" s="61">
        <v>45658</v>
      </c>
      <c r="B15" s="62">
        <v>0</v>
      </c>
      <c r="C15" s="72">
        <v>12</v>
      </c>
      <c r="D15" s="63">
        <v>1.677E-6</v>
      </c>
      <c r="E15" s="81">
        <v>9.0326000000000002E-4</v>
      </c>
      <c r="F15" s="63">
        <v>0</v>
      </c>
      <c r="G15" s="21"/>
      <c r="I15" s="21"/>
      <c r="J15" s="72">
        <v>12</v>
      </c>
      <c r="K15" s="81">
        <v>9.0326200000000005E-4</v>
      </c>
      <c r="L15" s="94">
        <v>1.67703E-6</v>
      </c>
      <c r="M15" s="21">
        <v>1.2040999999999999</v>
      </c>
      <c r="N15" s="63">
        <v>0</v>
      </c>
      <c r="O15" s="63">
        <v>0</v>
      </c>
      <c r="P15" s="21" t="s">
        <v>118</v>
      </c>
      <c r="R15" s="58">
        <f>(K15-E15)/E15</f>
        <v>2.2142018909632778E-6</v>
      </c>
      <c r="S15" s="94">
        <f>ABS(L15)</f>
        <v>1.67703E-6</v>
      </c>
      <c r="T15" s="95"/>
      <c r="U15" s="58"/>
      <c r="W15" s="60" t="s">
        <v>81</v>
      </c>
      <c r="X15" s="69">
        <v>7</v>
      </c>
      <c r="Y15" s="73">
        <v>5</v>
      </c>
      <c r="Z15" s="5">
        <v>9</v>
      </c>
      <c r="AA15" s="5">
        <v>3</v>
      </c>
      <c r="AB15" s="5">
        <v>20</v>
      </c>
      <c r="AC15" s="5">
        <v>20</v>
      </c>
      <c r="AD15" s="5">
        <v>1</v>
      </c>
      <c r="AE15" s="74">
        <v>1</v>
      </c>
      <c r="AF15" s="5">
        <v>1</v>
      </c>
      <c r="AG15" s="74">
        <v>0</v>
      </c>
      <c r="AH15" s="74">
        <v>0.84853000000000001</v>
      </c>
      <c r="AI15" s="74">
        <v>8.1242999999999992E-3</v>
      </c>
      <c r="AJ15" s="5">
        <v>0</v>
      </c>
      <c r="AK15" s="75">
        <v>0</v>
      </c>
    </row>
    <row r="16" spans="1:37" x14ac:dyDescent="0.25">
      <c r="A16" s="61">
        <v>45658</v>
      </c>
      <c r="B16" s="62">
        <v>0</v>
      </c>
      <c r="C16" s="72">
        <v>13</v>
      </c>
      <c r="D16" s="63">
        <v>5.8818999999999999</v>
      </c>
      <c r="E16" s="81">
        <v>9.0326000000000002E-4</v>
      </c>
      <c r="F16" s="63">
        <v>0</v>
      </c>
      <c r="G16" s="21"/>
      <c r="I16" s="21"/>
      <c r="J16" s="72">
        <v>13</v>
      </c>
      <c r="K16" s="81">
        <v>9.0326200000000005E-4</v>
      </c>
      <c r="L16" s="94">
        <v>5.88185</v>
      </c>
      <c r="M16" s="21">
        <v>1.2040999999999999</v>
      </c>
      <c r="N16" s="63">
        <v>0</v>
      </c>
      <c r="O16" s="63">
        <v>0</v>
      </c>
      <c r="P16" s="21" t="s">
        <v>119</v>
      </c>
      <c r="R16" s="58">
        <f>(K16-E16)/E16</f>
        <v>2.2142018909632778E-6</v>
      </c>
      <c r="S16" s="94">
        <f>ABS(L16)</f>
        <v>5.88185</v>
      </c>
      <c r="T16" s="97">
        <f>SUM(S12,S20,S19,S22,S18)</f>
        <v>100.00001333206701</v>
      </c>
      <c r="U16" s="58"/>
      <c r="W16" s="60" t="s">
        <v>82</v>
      </c>
      <c r="X16" s="69">
        <v>8</v>
      </c>
      <c r="Y16" s="73">
        <v>8</v>
      </c>
      <c r="Z16" s="5">
        <v>9</v>
      </c>
      <c r="AA16" s="5">
        <v>3</v>
      </c>
      <c r="AB16" s="5">
        <v>20</v>
      </c>
      <c r="AC16" s="5">
        <v>20</v>
      </c>
      <c r="AD16" s="5">
        <v>1</v>
      </c>
      <c r="AE16" s="74">
        <v>1</v>
      </c>
      <c r="AF16" s="5">
        <v>1</v>
      </c>
      <c r="AG16" s="74">
        <v>0</v>
      </c>
      <c r="AH16" s="74">
        <v>0.84853000000000001</v>
      </c>
      <c r="AI16" s="74">
        <v>8.1242999999999992E-3</v>
      </c>
      <c r="AJ16" s="5">
        <v>0</v>
      </c>
      <c r="AK16" s="75">
        <v>0</v>
      </c>
    </row>
    <row r="17" spans="1:37" x14ac:dyDescent="0.25">
      <c r="A17" s="61">
        <v>45658</v>
      </c>
      <c r="B17" s="62">
        <v>0</v>
      </c>
      <c r="C17" s="72">
        <v>14</v>
      </c>
      <c r="D17" s="63">
        <v>2.0963000000000001E-7</v>
      </c>
      <c r="E17" s="81">
        <v>9.0326000000000002E-4</v>
      </c>
      <c r="F17" s="63">
        <v>0</v>
      </c>
      <c r="G17" s="21"/>
      <c r="I17" s="21"/>
      <c r="J17" s="72">
        <v>14</v>
      </c>
      <c r="K17" s="81">
        <v>9.0326200000000005E-4</v>
      </c>
      <c r="L17" s="94">
        <v>2.09628E-7</v>
      </c>
      <c r="M17" s="21">
        <v>1.2040999999999999</v>
      </c>
      <c r="N17" s="63">
        <v>0</v>
      </c>
      <c r="O17" s="63">
        <v>0</v>
      </c>
      <c r="P17" s="21" t="s">
        <v>120</v>
      </c>
      <c r="R17" s="58">
        <f>(K17-E17)/E17</f>
        <v>2.2142018909632778E-6</v>
      </c>
      <c r="S17" s="94">
        <f>ABS(L17)</f>
        <v>2.09628E-7</v>
      </c>
      <c r="T17" s="96">
        <f>(T16-100)/100</f>
        <v>1.3332067013038796E-7</v>
      </c>
      <c r="U17" s="58"/>
      <c r="W17" s="60" t="s">
        <v>83</v>
      </c>
      <c r="X17" s="69">
        <v>9</v>
      </c>
      <c r="Y17" s="73">
        <v>9</v>
      </c>
      <c r="Z17" s="5">
        <v>4</v>
      </c>
      <c r="AA17" s="5">
        <v>1</v>
      </c>
      <c r="AB17" s="5">
        <v>20</v>
      </c>
      <c r="AC17" s="5">
        <v>20</v>
      </c>
      <c r="AD17" s="5">
        <v>1</v>
      </c>
      <c r="AE17" s="74">
        <v>1</v>
      </c>
      <c r="AF17" s="5">
        <v>1</v>
      </c>
      <c r="AG17" s="74">
        <v>0</v>
      </c>
      <c r="AH17" s="74">
        <v>0.84853000000000001</v>
      </c>
      <c r="AI17" s="74">
        <v>8.1242999999999992E-3</v>
      </c>
      <c r="AJ17" s="5">
        <v>0</v>
      </c>
      <c r="AK17" s="75">
        <v>0</v>
      </c>
    </row>
    <row r="18" spans="1:37" x14ac:dyDescent="0.25">
      <c r="A18" s="61">
        <v>45658</v>
      </c>
      <c r="B18" s="62">
        <v>0</v>
      </c>
      <c r="C18" s="72">
        <v>15</v>
      </c>
      <c r="D18" s="63">
        <v>-4.3062999999999999E-3</v>
      </c>
      <c r="E18" s="82">
        <v>-6.1101000000000003E-2</v>
      </c>
      <c r="F18" s="63">
        <v>0</v>
      </c>
      <c r="G18" s="21"/>
      <c r="I18" s="21"/>
      <c r="J18" s="72">
        <v>15</v>
      </c>
      <c r="K18" s="82">
        <v>-6.1101299999999997E-2</v>
      </c>
      <c r="L18" s="94">
        <v>-4.3063299999999997E-3</v>
      </c>
      <c r="M18" s="21">
        <v>1.2040999999999999</v>
      </c>
      <c r="N18" s="63">
        <v>-100</v>
      </c>
      <c r="O18" s="63">
        <v>0</v>
      </c>
      <c r="P18" s="21" t="s">
        <v>121</v>
      </c>
      <c r="R18" s="58">
        <f>(K18-E18)/E18</f>
        <v>4.9099032748195434E-6</v>
      </c>
      <c r="S18" s="94">
        <f>ABS(L18)</f>
        <v>4.3063299999999997E-3</v>
      </c>
      <c r="T18" s="95"/>
      <c r="U18" s="58"/>
      <c r="W18" s="60" t="s">
        <v>84</v>
      </c>
      <c r="X18" s="69">
        <v>10</v>
      </c>
      <c r="Y18" s="73">
        <v>10</v>
      </c>
      <c r="Z18" s="5">
        <v>5</v>
      </c>
      <c r="AA18" s="5">
        <v>4</v>
      </c>
      <c r="AB18" s="5">
        <v>20</v>
      </c>
      <c r="AC18" s="5">
        <v>20</v>
      </c>
      <c r="AD18" s="5">
        <v>1</v>
      </c>
      <c r="AE18" s="74">
        <v>1</v>
      </c>
      <c r="AF18" s="5">
        <v>1</v>
      </c>
      <c r="AG18" s="74">
        <v>0</v>
      </c>
      <c r="AH18" s="74">
        <v>0.84853000000000001</v>
      </c>
      <c r="AI18" s="74">
        <v>8.1242999999999992E-3</v>
      </c>
      <c r="AJ18" s="5">
        <v>0</v>
      </c>
      <c r="AK18" s="75">
        <v>0</v>
      </c>
    </row>
    <row r="19" spans="1:37" x14ac:dyDescent="0.25">
      <c r="A19" s="61">
        <v>45658</v>
      </c>
      <c r="B19" s="62">
        <v>0</v>
      </c>
      <c r="C19" s="72">
        <v>16</v>
      </c>
      <c r="D19" s="63">
        <v>7.0207000000000004E-7</v>
      </c>
      <c r="E19" s="81">
        <v>3.0251000000000002E-3</v>
      </c>
      <c r="F19" s="63">
        <v>0</v>
      </c>
      <c r="G19" s="21"/>
      <c r="I19" s="21"/>
      <c r="J19" s="72">
        <v>16</v>
      </c>
      <c r="K19" s="81">
        <v>3.0251200000000001E-3</v>
      </c>
      <c r="L19" s="94">
        <v>7.0206699999999996E-7</v>
      </c>
      <c r="M19" s="21">
        <v>1.2040999999999999</v>
      </c>
      <c r="N19" s="63">
        <v>0</v>
      </c>
      <c r="O19" s="63">
        <v>0</v>
      </c>
      <c r="P19" s="21" t="s">
        <v>122</v>
      </c>
      <c r="R19" s="58">
        <f>(K19-E19)/E19</f>
        <v>6.6113516908139307E-6</v>
      </c>
      <c r="S19" s="94">
        <f>ABS(L19)</f>
        <v>7.0206699999999996E-7</v>
      </c>
      <c r="T19" s="95">
        <f>SUM(S12,S20,S21,S22,S18)</f>
        <v>100.00001333206701</v>
      </c>
      <c r="U19" s="58"/>
      <c r="W19" s="60" t="s">
        <v>85</v>
      </c>
      <c r="X19" s="69">
        <v>11</v>
      </c>
      <c r="Y19" s="73">
        <v>11</v>
      </c>
      <c r="Z19" s="5">
        <v>6</v>
      </c>
      <c r="AA19" s="5">
        <v>5</v>
      </c>
      <c r="AB19" s="5">
        <v>20</v>
      </c>
      <c r="AC19" s="5">
        <v>20</v>
      </c>
      <c r="AD19" s="5">
        <v>1E-4</v>
      </c>
      <c r="AE19" s="74">
        <v>1</v>
      </c>
      <c r="AF19" s="5">
        <v>1</v>
      </c>
      <c r="AG19" s="74">
        <v>0</v>
      </c>
      <c r="AH19" s="74">
        <v>8.4852999999999995E-5</v>
      </c>
      <c r="AI19" s="74">
        <v>8.1243000000000002E-9</v>
      </c>
      <c r="AJ19" s="5">
        <v>0</v>
      </c>
      <c r="AK19" s="75">
        <v>0</v>
      </c>
    </row>
    <row r="20" spans="1:37" x14ac:dyDescent="0.25">
      <c r="A20" s="61">
        <v>45658</v>
      </c>
      <c r="B20" s="62">
        <v>0</v>
      </c>
      <c r="C20" s="72">
        <v>17</v>
      </c>
      <c r="D20" s="63">
        <v>83.498000000000005</v>
      </c>
      <c r="E20" s="81">
        <v>3.4033000000000002E-3</v>
      </c>
      <c r="F20" s="63">
        <v>0</v>
      </c>
      <c r="G20" s="21"/>
      <c r="I20" s="21"/>
      <c r="J20" s="72">
        <v>17</v>
      </c>
      <c r="K20" s="81">
        <v>3.40326E-3</v>
      </c>
      <c r="L20" s="94">
        <v>83.498000000000005</v>
      </c>
      <c r="M20" s="21">
        <v>1.2040999999999999</v>
      </c>
      <c r="N20" s="63">
        <v>0</v>
      </c>
      <c r="O20" s="63">
        <v>0</v>
      </c>
      <c r="P20" s="21" t="s">
        <v>123</v>
      </c>
      <c r="R20" s="58">
        <f>(K20-E20)/E20</f>
        <v>-1.1753298269384459E-5</v>
      </c>
      <c r="S20" s="94">
        <f>ABS(L20)</f>
        <v>83.498000000000005</v>
      </c>
      <c r="T20" s="96">
        <f>(T19-100)/100</f>
        <v>1.3332067013038796E-7</v>
      </c>
      <c r="U20" s="58"/>
      <c r="W20" s="60" t="s">
        <v>86</v>
      </c>
      <c r="X20" s="69">
        <v>12</v>
      </c>
      <c r="Y20" s="73">
        <v>12</v>
      </c>
      <c r="Z20" s="5">
        <v>7</v>
      </c>
      <c r="AA20" s="5">
        <v>6</v>
      </c>
      <c r="AB20" s="5">
        <v>20</v>
      </c>
      <c r="AC20" s="5">
        <v>20</v>
      </c>
      <c r="AD20" s="5">
        <v>1</v>
      </c>
      <c r="AE20" s="74">
        <v>1</v>
      </c>
      <c r="AF20" s="5">
        <v>1</v>
      </c>
      <c r="AG20" s="74">
        <v>0</v>
      </c>
      <c r="AH20" s="74">
        <v>0.84853000000000001</v>
      </c>
      <c r="AI20" s="74">
        <v>8.1242999999999992E-3</v>
      </c>
      <c r="AJ20" s="5">
        <v>0</v>
      </c>
      <c r="AK20" s="75">
        <v>0</v>
      </c>
    </row>
    <row r="21" spans="1:37" x14ac:dyDescent="0.25">
      <c r="A21" s="61">
        <v>45658</v>
      </c>
      <c r="B21" s="62">
        <v>0</v>
      </c>
      <c r="C21" s="72">
        <v>18</v>
      </c>
      <c r="D21" s="63">
        <v>7.0207000000000004E-7</v>
      </c>
      <c r="E21" s="81">
        <v>3.7814E-10</v>
      </c>
      <c r="F21" s="63">
        <v>0</v>
      </c>
      <c r="G21" s="21"/>
      <c r="I21" s="21"/>
      <c r="J21" s="72">
        <v>18</v>
      </c>
      <c r="K21" s="81">
        <v>3.7814E-10</v>
      </c>
      <c r="L21" s="94">
        <v>7.0206699999999996E-7</v>
      </c>
      <c r="M21" s="21">
        <v>1.2040999999999999</v>
      </c>
      <c r="N21" s="63">
        <v>0</v>
      </c>
      <c r="O21" s="63">
        <v>0</v>
      </c>
      <c r="P21" s="21" t="s">
        <v>122</v>
      </c>
      <c r="R21" s="58">
        <f>(K21-E21)/E21</f>
        <v>0</v>
      </c>
      <c r="S21" s="94">
        <f>ABS(L21)</f>
        <v>7.0206699999999996E-7</v>
      </c>
      <c r="T21" s="95"/>
      <c r="U21" s="58"/>
      <c r="X21" s="69">
        <v>13</v>
      </c>
      <c r="Y21" s="73">
        <v>13</v>
      </c>
      <c r="Z21" s="5">
        <v>8</v>
      </c>
      <c r="AA21" s="5">
        <v>7</v>
      </c>
      <c r="AB21" s="5">
        <v>20</v>
      </c>
      <c r="AC21" s="5">
        <v>20</v>
      </c>
      <c r="AD21" s="5">
        <v>4.0000000000000002E-4</v>
      </c>
      <c r="AE21" s="74">
        <v>1</v>
      </c>
      <c r="AF21" s="5">
        <v>1</v>
      </c>
      <c r="AG21" s="74">
        <v>0</v>
      </c>
      <c r="AH21" s="74">
        <v>3.3941E-4</v>
      </c>
      <c r="AI21" s="74">
        <v>6.4994999999999994E-8</v>
      </c>
      <c r="AJ21" s="5">
        <v>0</v>
      </c>
      <c r="AK21" s="75">
        <v>0</v>
      </c>
    </row>
    <row r="22" spans="1:37" x14ac:dyDescent="0.25">
      <c r="A22" s="61">
        <v>45658</v>
      </c>
      <c r="B22" s="62">
        <v>0</v>
      </c>
      <c r="C22" s="72">
        <v>19</v>
      </c>
      <c r="D22" s="63">
        <v>16.492999999999999</v>
      </c>
      <c r="E22" s="81">
        <v>3.4033000000000002E-3</v>
      </c>
      <c r="F22" s="63">
        <v>0</v>
      </c>
      <c r="G22" s="21"/>
      <c r="I22" s="21"/>
      <c r="J22" s="72">
        <v>19</v>
      </c>
      <c r="K22" s="81">
        <v>3.40326E-3</v>
      </c>
      <c r="L22" s="94">
        <v>16.493400000000001</v>
      </c>
      <c r="M22" s="21">
        <v>1.2040999999999999</v>
      </c>
      <c r="N22" s="63">
        <v>0</v>
      </c>
      <c r="O22" s="63">
        <v>0</v>
      </c>
      <c r="P22" s="21" t="s">
        <v>124</v>
      </c>
      <c r="R22" s="58">
        <f>(K22-E22)/E22</f>
        <v>-1.1753298269384459E-5</v>
      </c>
      <c r="S22" s="94">
        <f>ABS(L22)</f>
        <v>16.493400000000001</v>
      </c>
      <c r="T22" s="95">
        <f>SUM(S12,S20,S23,S22,S18)</f>
        <v>100.00001333206701</v>
      </c>
      <c r="U22" s="58"/>
      <c r="X22" s="69">
        <v>14</v>
      </c>
      <c r="Y22" s="73">
        <v>14</v>
      </c>
      <c r="Z22" s="5">
        <v>9</v>
      </c>
      <c r="AA22" s="5">
        <v>8</v>
      </c>
      <c r="AB22" s="5">
        <v>20</v>
      </c>
      <c r="AC22" s="5">
        <v>20</v>
      </c>
      <c r="AD22" s="5">
        <v>4</v>
      </c>
      <c r="AE22" s="74">
        <v>1</v>
      </c>
      <c r="AF22" s="5">
        <v>1</v>
      </c>
      <c r="AG22" s="74">
        <v>0</v>
      </c>
      <c r="AH22" s="74">
        <v>3.3940999999999999</v>
      </c>
      <c r="AI22" s="74">
        <v>6.4994999999999997E-2</v>
      </c>
      <c r="AJ22" s="5">
        <v>0</v>
      </c>
      <c r="AK22" s="75">
        <v>0</v>
      </c>
    </row>
    <row r="23" spans="1:37" x14ac:dyDescent="0.25">
      <c r="A23" s="61">
        <v>45658</v>
      </c>
      <c r="B23" s="62">
        <v>0</v>
      </c>
      <c r="C23" s="72">
        <v>20</v>
      </c>
      <c r="D23" s="63">
        <v>7.0207000000000004E-7</v>
      </c>
      <c r="E23" s="81">
        <v>3.7814000000000001E-4</v>
      </c>
      <c r="F23" s="63">
        <v>0</v>
      </c>
      <c r="G23" s="21"/>
      <c r="I23" s="21"/>
      <c r="J23" s="72">
        <v>20</v>
      </c>
      <c r="K23" s="81">
        <v>3.7814000000000001E-4</v>
      </c>
      <c r="L23" s="94">
        <v>7.0206699999999996E-7</v>
      </c>
      <c r="M23" s="21">
        <v>1.2040999999999999</v>
      </c>
      <c r="N23" s="63">
        <v>0</v>
      </c>
      <c r="O23" s="63">
        <v>0</v>
      </c>
      <c r="P23" s="21" t="s">
        <v>122</v>
      </c>
      <c r="R23" s="58">
        <f>(K23-E23)/E23</f>
        <v>0</v>
      </c>
      <c r="S23" s="94">
        <f>ABS(L23)</f>
        <v>7.0206699999999996E-7</v>
      </c>
      <c r="T23" s="96">
        <f>(T22-100)/100</f>
        <v>1.3332067013038796E-7</v>
      </c>
      <c r="U23" s="58"/>
      <c r="X23" s="69">
        <v>15</v>
      </c>
      <c r="Y23" s="73">
        <v>15</v>
      </c>
      <c r="Z23" s="5">
        <v>9</v>
      </c>
      <c r="AA23" s="5">
        <v>1</v>
      </c>
      <c r="AB23" s="5">
        <v>20</v>
      </c>
      <c r="AC23" s="5">
        <v>20</v>
      </c>
      <c r="AD23" s="5">
        <v>1</v>
      </c>
      <c r="AE23" s="74">
        <v>1</v>
      </c>
      <c r="AF23" s="5">
        <v>1</v>
      </c>
      <c r="AG23" s="74">
        <v>-100</v>
      </c>
      <c r="AH23" s="74">
        <v>0.84853000000000001</v>
      </c>
      <c r="AI23" s="74">
        <v>8.1242999999999992E-3</v>
      </c>
      <c r="AJ23" s="5">
        <v>0</v>
      </c>
      <c r="AK23" s="75">
        <v>0</v>
      </c>
    </row>
    <row r="24" spans="1:37" x14ac:dyDescent="0.25">
      <c r="X24" s="69">
        <v>16</v>
      </c>
      <c r="Y24" s="73">
        <v>17</v>
      </c>
      <c r="Z24" s="5">
        <v>10</v>
      </c>
      <c r="AA24" s="5">
        <v>4</v>
      </c>
      <c r="AB24" s="5">
        <v>20</v>
      </c>
      <c r="AC24" s="5">
        <v>20</v>
      </c>
      <c r="AD24" s="5">
        <v>4.0000000000000002E-4</v>
      </c>
      <c r="AE24" s="74">
        <v>1</v>
      </c>
      <c r="AF24" s="5">
        <v>1</v>
      </c>
      <c r="AG24" s="74">
        <v>0</v>
      </c>
      <c r="AH24" s="74">
        <v>3.3941E-4</v>
      </c>
      <c r="AI24" s="74">
        <v>6.4994999999999994E-8</v>
      </c>
      <c r="AJ24" s="5">
        <v>0</v>
      </c>
      <c r="AK24" s="75">
        <v>0</v>
      </c>
    </row>
    <row r="25" spans="1:37" x14ac:dyDescent="0.25">
      <c r="K25" t="s">
        <v>89</v>
      </c>
      <c r="L25">
        <v>20</v>
      </c>
      <c r="M25" t="s">
        <v>90</v>
      </c>
      <c r="N25">
        <v>0</v>
      </c>
      <c r="X25" s="69">
        <v>17</v>
      </c>
      <c r="Y25" s="73">
        <v>16</v>
      </c>
      <c r="Z25" s="5">
        <v>11</v>
      </c>
      <c r="AA25" s="5">
        <v>10</v>
      </c>
      <c r="AB25" s="5">
        <v>20</v>
      </c>
      <c r="AC25" s="5">
        <v>20</v>
      </c>
      <c r="AD25" s="5">
        <v>4</v>
      </c>
      <c r="AE25" s="74">
        <v>1</v>
      </c>
      <c r="AF25" s="5">
        <v>1</v>
      </c>
      <c r="AG25" s="74">
        <v>0</v>
      </c>
      <c r="AH25" s="74">
        <v>3.3940999999999999</v>
      </c>
      <c r="AI25" s="74">
        <v>6.4994999999999997E-2</v>
      </c>
      <c r="AJ25" s="5">
        <v>0</v>
      </c>
      <c r="AK25" s="75">
        <v>0</v>
      </c>
    </row>
    <row r="26" spans="1:37" x14ac:dyDescent="0.25">
      <c r="K26" t="s">
        <v>87</v>
      </c>
      <c r="X26" s="69">
        <v>18</v>
      </c>
      <c r="Y26" s="73">
        <v>18</v>
      </c>
      <c r="Z26" s="5">
        <v>11</v>
      </c>
      <c r="AA26" s="5">
        <v>10</v>
      </c>
      <c r="AB26" s="5">
        <v>20</v>
      </c>
      <c r="AC26" s="5">
        <v>20</v>
      </c>
      <c r="AD26" s="5">
        <v>1E-4</v>
      </c>
      <c r="AE26" s="74">
        <v>1</v>
      </c>
      <c r="AF26" s="5">
        <v>1</v>
      </c>
      <c r="AG26" s="74">
        <v>0</v>
      </c>
      <c r="AH26" s="74">
        <v>8.4852999999999995E-5</v>
      </c>
      <c r="AI26" s="74">
        <v>8.1243000000000002E-9</v>
      </c>
      <c r="AJ26" s="5">
        <v>0</v>
      </c>
      <c r="AK26" s="75">
        <v>0</v>
      </c>
    </row>
    <row r="27" spans="1:37" x14ac:dyDescent="0.25">
      <c r="A27" t="s">
        <v>62</v>
      </c>
      <c r="B27" t="s">
        <v>63</v>
      </c>
      <c r="C27" t="s">
        <v>139</v>
      </c>
      <c r="D27" t="s">
        <v>140</v>
      </c>
      <c r="E27" t="s">
        <v>141</v>
      </c>
      <c r="F27" t="s">
        <v>142</v>
      </c>
      <c r="G27" t="s">
        <v>143</v>
      </c>
      <c r="H27" t="s">
        <v>144</v>
      </c>
      <c r="L27" t="s">
        <v>91</v>
      </c>
      <c r="M27" t="s">
        <v>92</v>
      </c>
      <c r="N27" t="s">
        <v>93</v>
      </c>
      <c r="O27" t="s">
        <v>94</v>
      </c>
      <c r="X27" s="69">
        <v>19</v>
      </c>
      <c r="Y27" s="73">
        <v>20</v>
      </c>
      <c r="Z27" s="5">
        <v>11</v>
      </c>
      <c r="AA27" s="5">
        <v>10</v>
      </c>
      <c r="AB27" s="5">
        <v>20</v>
      </c>
      <c r="AC27" s="5">
        <v>20</v>
      </c>
      <c r="AD27" s="5">
        <v>1</v>
      </c>
      <c r="AE27" s="74">
        <v>1</v>
      </c>
      <c r="AF27" s="5">
        <v>1</v>
      </c>
      <c r="AG27" s="74">
        <v>0</v>
      </c>
      <c r="AH27" s="74">
        <v>0.84853000000000001</v>
      </c>
      <c r="AI27" s="74">
        <v>8.1242999999999992E-3</v>
      </c>
      <c r="AJ27" s="5">
        <v>0</v>
      </c>
      <c r="AK27" s="75">
        <v>0</v>
      </c>
    </row>
    <row r="28" spans="1:37" x14ac:dyDescent="0.25">
      <c r="A28" s="49">
        <v>45658</v>
      </c>
      <c r="B28" s="50">
        <v>0</v>
      </c>
      <c r="C28">
        <v>0</v>
      </c>
      <c r="D28">
        <v>20</v>
      </c>
      <c r="E28">
        <v>101325</v>
      </c>
      <c r="F28" t="s">
        <v>145</v>
      </c>
      <c r="G28">
        <v>0</v>
      </c>
      <c r="H28">
        <v>0</v>
      </c>
      <c r="L28">
        <v>1</v>
      </c>
      <c r="M28" t="s">
        <v>95</v>
      </c>
      <c r="N28" s="86">
        <v>0</v>
      </c>
      <c r="O28">
        <v>1.2040999999999999</v>
      </c>
      <c r="R28" s="58"/>
      <c r="S28" s="58"/>
      <c r="T28" s="58"/>
      <c r="U28" s="58"/>
      <c r="X28" s="69">
        <v>20</v>
      </c>
      <c r="Y28" s="76">
        <v>19</v>
      </c>
      <c r="Z28" s="10">
        <v>9</v>
      </c>
      <c r="AA28" s="10">
        <v>11</v>
      </c>
      <c r="AB28" s="10">
        <v>20</v>
      </c>
      <c r="AC28" s="10">
        <v>20</v>
      </c>
      <c r="AD28" s="10">
        <v>8.9999999999999998E-4</v>
      </c>
      <c r="AE28" s="77">
        <v>1</v>
      </c>
      <c r="AF28" s="10">
        <v>1</v>
      </c>
      <c r="AG28" s="77">
        <v>0</v>
      </c>
      <c r="AH28" s="77">
        <v>7.6367999999999998E-4</v>
      </c>
      <c r="AI28" s="77">
        <v>2.1936E-7</v>
      </c>
      <c r="AJ28" s="10">
        <v>0</v>
      </c>
      <c r="AK28" s="15">
        <v>0</v>
      </c>
    </row>
    <row r="29" spans="1:37" x14ac:dyDescent="0.25">
      <c r="A29" s="49">
        <v>45658</v>
      </c>
      <c r="B29" s="50">
        <v>0</v>
      </c>
      <c r="C29">
        <v>1</v>
      </c>
      <c r="D29">
        <v>20</v>
      </c>
      <c r="E29" s="86">
        <v>-4.4546999999999998E-3</v>
      </c>
      <c r="F29">
        <v>1.2040999999999999</v>
      </c>
      <c r="L29">
        <v>2</v>
      </c>
      <c r="M29" t="s">
        <v>96</v>
      </c>
      <c r="N29" s="86">
        <v>-4.4546999999999998E-3</v>
      </c>
      <c r="O29">
        <v>1.2040999999999999</v>
      </c>
      <c r="R29" s="58">
        <f>(N29-E29)/E29</f>
        <v>0</v>
      </c>
      <c r="S29" s="58"/>
      <c r="T29" s="58"/>
      <c r="U29" s="58"/>
    </row>
    <row r="30" spans="1:37" x14ac:dyDescent="0.25">
      <c r="A30" s="49">
        <v>45658</v>
      </c>
      <c r="B30" s="50">
        <v>0</v>
      </c>
      <c r="C30">
        <v>2</v>
      </c>
      <c r="D30">
        <v>20</v>
      </c>
      <c r="E30" s="86">
        <v>-99.995000000000005</v>
      </c>
      <c r="F30">
        <v>1.2040999999999999</v>
      </c>
      <c r="L30">
        <v>3</v>
      </c>
      <c r="M30" t="s">
        <v>97</v>
      </c>
      <c r="N30" s="86">
        <v>-99.995000000000005</v>
      </c>
      <c r="O30">
        <v>1.2040999999999999</v>
      </c>
      <c r="R30" s="58">
        <f>(N30-E30)/E30</f>
        <v>0</v>
      </c>
      <c r="S30" s="58"/>
      <c r="T30" s="58"/>
      <c r="U30" s="58"/>
    </row>
    <row r="31" spans="1:37" x14ac:dyDescent="0.25">
      <c r="A31" s="49">
        <v>45658</v>
      </c>
      <c r="B31" s="50">
        <v>0</v>
      </c>
      <c r="C31">
        <v>3</v>
      </c>
      <c r="D31">
        <v>20</v>
      </c>
      <c r="E31" s="86">
        <v>-4.3062999999999999E-3</v>
      </c>
      <c r="F31">
        <v>1.2040999999999999</v>
      </c>
      <c r="L31">
        <v>4</v>
      </c>
      <c r="M31" t="s">
        <v>98</v>
      </c>
      <c r="N31" s="86">
        <v>-4.3062999999999999E-3</v>
      </c>
      <c r="O31">
        <v>1.2040999999999999</v>
      </c>
      <c r="R31" s="58">
        <f>(N31-E31)/E31</f>
        <v>0</v>
      </c>
      <c r="S31" s="58"/>
      <c r="T31" s="58"/>
      <c r="U31" s="58"/>
    </row>
    <row r="32" spans="1:37" x14ac:dyDescent="0.25">
      <c r="A32" s="49">
        <v>45658</v>
      </c>
      <c r="B32" s="50">
        <v>0</v>
      </c>
      <c r="C32">
        <v>4</v>
      </c>
      <c r="D32">
        <v>20</v>
      </c>
      <c r="E32" s="86">
        <v>-4.3080000000000002E-3</v>
      </c>
      <c r="F32">
        <v>1.2040999999999999</v>
      </c>
      <c r="L32">
        <v>5</v>
      </c>
      <c r="M32" t="s">
        <v>99</v>
      </c>
      <c r="N32" s="86">
        <v>-4.3080000000000002E-3</v>
      </c>
      <c r="O32">
        <v>1.2040999999999999</v>
      </c>
      <c r="R32" s="58">
        <f>(N32-E32)/E32</f>
        <v>0</v>
      </c>
      <c r="S32" s="58"/>
      <c r="T32" s="58"/>
      <c r="U32" s="58"/>
    </row>
    <row r="33" spans="1:21" x14ac:dyDescent="0.25">
      <c r="A33" s="49">
        <v>45658</v>
      </c>
      <c r="B33" s="50">
        <v>0</v>
      </c>
      <c r="C33">
        <v>5</v>
      </c>
      <c r="D33">
        <v>20</v>
      </c>
      <c r="E33" s="86">
        <v>-94.114000000000004</v>
      </c>
      <c r="F33">
        <v>1.2040999999999999</v>
      </c>
      <c r="L33">
        <v>6</v>
      </c>
      <c r="M33" t="s">
        <v>100</v>
      </c>
      <c r="N33" s="86">
        <v>-94.114000000000004</v>
      </c>
      <c r="O33">
        <v>1.2040999999999999</v>
      </c>
      <c r="R33" s="58">
        <f>(N33-E33)/E33</f>
        <v>0</v>
      </c>
      <c r="S33" s="58"/>
      <c r="T33" s="58"/>
      <c r="U33" s="58"/>
    </row>
    <row r="34" spans="1:21" x14ac:dyDescent="0.25">
      <c r="A34" s="49">
        <v>45658</v>
      </c>
      <c r="B34" s="50">
        <v>0</v>
      </c>
      <c r="C34">
        <v>6</v>
      </c>
      <c r="D34">
        <v>20</v>
      </c>
      <c r="E34" s="86">
        <v>-94.114000000000004</v>
      </c>
      <c r="F34">
        <v>1.2040999999999999</v>
      </c>
      <c r="L34">
        <v>7</v>
      </c>
      <c r="M34" t="s">
        <v>101</v>
      </c>
      <c r="N34" s="86">
        <v>-94.114000000000004</v>
      </c>
      <c r="O34">
        <v>1.2040999999999999</v>
      </c>
      <c r="R34" s="58">
        <f>(N34-E34)/E34</f>
        <v>0</v>
      </c>
      <c r="S34" s="58"/>
      <c r="T34" s="58"/>
      <c r="U34" s="58"/>
    </row>
    <row r="35" spans="1:21" x14ac:dyDescent="0.25">
      <c r="A35" s="49">
        <v>45658</v>
      </c>
      <c r="B35" s="50">
        <v>0</v>
      </c>
      <c r="C35">
        <v>7</v>
      </c>
      <c r="D35">
        <v>20</v>
      </c>
      <c r="E35" s="86">
        <v>-99.995999999999995</v>
      </c>
      <c r="F35">
        <v>1.2040999999999999</v>
      </c>
      <c r="L35">
        <v>8</v>
      </c>
      <c r="M35" t="s">
        <v>102</v>
      </c>
      <c r="N35" s="86">
        <v>-99.995999999999995</v>
      </c>
      <c r="O35">
        <v>1.2040999999999999</v>
      </c>
      <c r="R35" s="58">
        <f>(N35-E35)/E35</f>
        <v>0</v>
      </c>
      <c r="S35" s="58"/>
      <c r="T35" s="58"/>
      <c r="U35" s="58"/>
    </row>
    <row r="36" spans="1:21" x14ac:dyDescent="0.25">
      <c r="A36" s="49">
        <v>45658</v>
      </c>
      <c r="B36" s="50">
        <v>0</v>
      </c>
      <c r="C36">
        <v>8</v>
      </c>
      <c r="D36">
        <v>20</v>
      </c>
      <c r="E36" s="86">
        <v>-99.995999999999995</v>
      </c>
      <c r="F36">
        <v>1.2040999999999999</v>
      </c>
      <c r="L36">
        <v>9</v>
      </c>
      <c r="M36" t="s">
        <v>103</v>
      </c>
      <c r="N36" s="86">
        <v>-99.995999999999995</v>
      </c>
      <c r="O36">
        <v>1.2040999999999999</v>
      </c>
      <c r="R36" s="58">
        <f>(N36-E36)/E36</f>
        <v>0</v>
      </c>
      <c r="S36" s="58"/>
      <c r="T36" s="58"/>
      <c r="U36" s="58"/>
    </row>
    <row r="37" spans="1:21" x14ac:dyDescent="0.25">
      <c r="A37" s="49">
        <v>45658</v>
      </c>
      <c r="B37" s="50">
        <v>0</v>
      </c>
      <c r="C37">
        <v>9</v>
      </c>
      <c r="D37">
        <v>20</v>
      </c>
      <c r="E37" s="86">
        <v>-83.501999999999995</v>
      </c>
      <c r="F37">
        <v>1.2040999999999999</v>
      </c>
      <c r="L37">
        <v>10</v>
      </c>
      <c r="M37" t="s">
        <v>104</v>
      </c>
      <c r="N37" s="86">
        <v>-83.501999999999995</v>
      </c>
      <c r="O37">
        <v>1.2040999999999999</v>
      </c>
      <c r="R37" s="58">
        <f>(N37-E37)/E37</f>
        <v>0</v>
      </c>
      <c r="S37" s="58"/>
      <c r="T37" s="58"/>
      <c r="U37" s="58"/>
    </row>
    <row r="38" spans="1:21" x14ac:dyDescent="0.25">
      <c r="A38" s="49">
        <v>45658</v>
      </c>
      <c r="B38" s="50">
        <v>0</v>
      </c>
      <c r="C38">
        <v>10</v>
      </c>
      <c r="D38">
        <v>20</v>
      </c>
      <c r="E38" s="86">
        <v>-83.501999999999995</v>
      </c>
      <c r="F38">
        <v>1.2040999999999999</v>
      </c>
      <c r="L38">
        <v>11</v>
      </c>
      <c r="M38" t="s">
        <v>105</v>
      </c>
      <c r="N38" s="86">
        <v>-83.501999999999995</v>
      </c>
      <c r="O38">
        <v>1.2040999999999999</v>
      </c>
      <c r="R38" s="58">
        <f>(N38-E38)/E38</f>
        <v>0</v>
      </c>
      <c r="S38" s="58"/>
      <c r="T38" s="58"/>
      <c r="U38" s="58"/>
    </row>
  </sheetData>
  <sortState xmlns:xlrd2="http://schemas.microsoft.com/office/spreadsheetml/2017/richdata2" ref="X9:AK28">
    <sortCondition ref="X9:X28"/>
  </sortState>
  <mergeCells count="1">
    <mergeCell ref="Y7:AK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5483-3C21-4726-8A55-D5C5E8AB1A50}">
  <dimension ref="A1:AE23"/>
  <sheetViews>
    <sheetView zoomScale="85" zoomScaleNormal="85" workbookViewId="0">
      <selection activeCell="C27" sqref="C27"/>
    </sheetView>
  </sheetViews>
  <sheetFormatPr defaultRowHeight="15" x14ac:dyDescent="0.25"/>
  <cols>
    <col min="1" max="1" width="3.140625" bestFit="1" customWidth="1"/>
    <col min="2" max="2" width="15.140625" bestFit="1" customWidth="1"/>
    <col min="3" max="3" width="7.7109375" bestFit="1" customWidth="1"/>
    <col min="4" max="4" width="7.140625" bestFit="1" customWidth="1"/>
    <col min="5" max="5" width="8.7109375" bestFit="1" customWidth="1"/>
    <col min="6" max="6" width="4.140625" bestFit="1" customWidth="1"/>
    <col min="7" max="7" width="12.42578125" bestFit="1" customWidth="1"/>
    <col min="8" max="8" width="11.85546875" bestFit="1" customWidth="1"/>
    <col min="9" max="9" width="10.42578125" bestFit="1" customWidth="1"/>
    <col min="10" max="31" width="12.85546875" customWidth="1"/>
    <col min="32" max="32" width="4.7109375" bestFit="1" customWidth="1"/>
  </cols>
  <sheetData>
    <row r="1" spans="1:15" x14ac:dyDescent="0.25">
      <c r="B1" s="64" t="s">
        <v>54</v>
      </c>
      <c r="C1" s="17" t="s">
        <v>30</v>
      </c>
      <c r="D1" s="64" t="s">
        <v>60</v>
      </c>
      <c r="E1" s="64" t="s">
        <v>61</v>
      </c>
      <c r="F1" s="17" t="s">
        <v>29</v>
      </c>
      <c r="G1" s="17" t="s">
        <v>28</v>
      </c>
      <c r="H1" s="17" t="s">
        <v>34</v>
      </c>
      <c r="I1" s="17" t="s">
        <v>3</v>
      </c>
      <c r="K1" s="25" t="s">
        <v>36</v>
      </c>
      <c r="L1" s="22"/>
      <c r="M1" s="22"/>
    </row>
    <row r="2" spans="1:15" x14ac:dyDescent="0.25">
      <c r="B2" s="21"/>
      <c r="C2" s="54" t="s">
        <v>8</v>
      </c>
      <c r="D2" s="65" t="s">
        <v>31</v>
      </c>
      <c r="E2" s="65"/>
      <c r="F2" s="17"/>
      <c r="G2" s="17" t="s">
        <v>35</v>
      </c>
      <c r="H2" s="21"/>
      <c r="I2" s="21"/>
      <c r="K2" s="25" t="s">
        <v>12</v>
      </c>
      <c r="L2" s="22">
        <v>101325</v>
      </c>
      <c r="M2" s="37" t="s">
        <v>1</v>
      </c>
    </row>
    <row r="3" spans="1:15" x14ac:dyDescent="0.25">
      <c r="A3" s="17">
        <v>1</v>
      </c>
      <c r="B3" s="68">
        <v>1</v>
      </c>
      <c r="C3" s="23">
        <f t="shared" ref="C3:C22" si="0">SQRT(D3)</f>
        <v>0.1</v>
      </c>
      <c r="D3" s="66">
        <v>0.01</v>
      </c>
      <c r="E3" s="67">
        <f t="shared" ref="E3:E22" si="1">D3*10000</f>
        <v>100</v>
      </c>
      <c r="F3" s="22">
        <v>0.6</v>
      </c>
      <c r="G3" s="31">
        <f t="shared" ref="G3:G22" si="2">$L$6*D3*$L$7/C3</f>
        <v>1.8108799999999998E-4</v>
      </c>
      <c r="H3" s="31">
        <f t="shared" ref="H3:H22" si="3">F3*D3*SQRT(2)</f>
        <v>8.4852813742385715E-3</v>
      </c>
      <c r="I3" s="28">
        <f t="shared" ref="I3:I22" si="4">2*D3*C3*F3^2/$L$7</f>
        <v>7.1999999999999997E-6</v>
      </c>
      <c r="K3" s="25" t="s">
        <v>11</v>
      </c>
      <c r="L3" s="38">
        <f>20</f>
        <v>20</v>
      </c>
      <c r="M3" s="37" t="s">
        <v>10</v>
      </c>
    </row>
    <row r="4" spans="1:15" x14ac:dyDescent="0.25">
      <c r="A4" s="17">
        <f t="shared" ref="A4:A22" si="5">A3+1</f>
        <v>2</v>
      </c>
      <c r="B4" s="68">
        <v>4</v>
      </c>
      <c r="C4" s="23">
        <f t="shared" si="0"/>
        <v>1</v>
      </c>
      <c r="D4" s="66">
        <v>1</v>
      </c>
      <c r="E4" s="67">
        <f t="shared" si="1"/>
        <v>10000</v>
      </c>
      <c r="F4" s="22">
        <v>0.6</v>
      </c>
      <c r="G4" s="31">
        <f t="shared" si="2"/>
        <v>1.81088E-3</v>
      </c>
      <c r="H4" s="31">
        <f t="shared" si="3"/>
        <v>0.84852813742385702</v>
      </c>
      <c r="I4" s="52">
        <f t="shared" si="4"/>
        <v>7.1999999999999998E-3</v>
      </c>
      <c r="K4" s="25"/>
      <c r="L4" s="22">
        <f>L3+273.15</f>
        <v>293.14999999999998</v>
      </c>
      <c r="M4" s="37" t="s">
        <v>3</v>
      </c>
    </row>
    <row r="5" spans="1:15" ht="15.75" x14ac:dyDescent="0.25">
      <c r="A5" s="17">
        <f t="shared" si="5"/>
        <v>3</v>
      </c>
      <c r="B5" s="68">
        <v>7</v>
      </c>
      <c r="C5" s="23">
        <f t="shared" si="0"/>
        <v>2</v>
      </c>
      <c r="D5" s="66">
        <v>4</v>
      </c>
      <c r="E5" s="67">
        <f t="shared" si="1"/>
        <v>40000</v>
      </c>
      <c r="F5" s="22">
        <v>0.6</v>
      </c>
      <c r="G5" s="31">
        <f t="shared" si="2"/>
        <v>3.6217599999999999E-3</v>
      </c>
      <c r="H5" s="31">
        <f t="shared" si="3"/>
        <v>3.3941125496954281</v>
      </c>
      <c r="I5" s="52">
        <f t="shared" si="4"/>
        <v>5.7599999999999998E-2</v>
      </c>
      <c r="K5" s="39" t="s">
        <v>52</v>
      </c>
      <c r="L5" s="40">
        <v>1.2041500000000001</v>
      </c>
      <c r="M5" s="41" t="s">
        <v>5</v>
      </c>
    </row>
    <row r="6" spans="1:15" ht="15.75" x14ac:dyDescent="0.25">
      <c r="A6" s="17">
        <f t="shared" si="5"/>
        <v>4</v>
      </c>
      <c r="B6" s="68">
        <v>3</v>
      </c>
      <c r="C6" s="23">
        <f t="shared" si="0"/>
        <v>0.05</v>
      </c>
      <c r="D6" s="66">
        <v>2.5000000000000001E-3</v>
      </c>
      <c r="E6" s="67">
        <f t="shared" si="1"/>
        <v>25</v>
      </c>
      <c r="F6" s="22">
        <v>0.6</v>
      </c>
      <c r="G6" s="31">
        <f t="shared" si="2"/>
        <v>9.0543999999999992E-5</v>
      </c>
      <c r="H6" s="31">
        <f t="shared" si="3"/>
        <v>2.1213203435596429E-3</v>
      </c>
      <c r="I6" s="28">
        <f t="shared" si="4"/>
        <v>8.9999999999999996E-7</v>
      </c>
      <c r="K6" s="42" t="s">
        <v>8</v>
      </c>
      <c r="L6" s="43">
        <f>0.0000171432+0.00000004828*L3</f>
        <v>1.8108799999999998E-5</v>
      </c>
      <c r="M6" s="24" t="s">
        <v>9</v>
      </c>
    </row>
    <row r="7" spans="1:15" x14ac:dyDescent="0.25">
      <c r="A7" s="17">
        <f t="shared" si="5"/>
        <v>5</v>
      </c>
      <c r="B7" s="68">
        <v>6</v>
      </c>
      <c r="C7" s="23">
        <f t="shared" si="0"/>
        <v>0.06</v>
      </c>
      <c r="D7" s="66">
        <v>3.5999999999999999E-3</v>
      </c>
      <c r="E7" s="67">
        <f t="shared" si="1"/>
        <v>36</v>
      </c>
      <c r="F7" s="22">
        <v>0.6</v>
      </c>
      <c r="G7" s="31">
        <f t="shared" si="2"/>
        <v>1.0865279999999999E-4</v>
      </c>
      <c r="H7" s="31">
        <f t="shared" si="3"/>
        <v>3.0547012947258856E-3</v>
      </c>
      <c r="I7" s="28">
        <f t="shared" si="4"/>
        <v>1.5551999999999999E-6</v>
      </c>
      <c r="K7" s="25" t="s">
        <v>27</v>
      </c>
      <c r="L7" s="22">
        <v>100</v>
      </c>
      <c r="M7" s="22"/>
    </row>
    <row r="8" spans="1:15" x14ac:dyDescent="0.25">
      <c r="A8" s="17">
        <f t="shared" si="5"/>
        <v>6</v>
      </c>
      <c r="B8" s="68">
        <v>2</v>
      </c>
      <c r="C8" s="23">
        <f t="shared" si="0"/>
        <v>1</v>
      </c>
      <c r="D8" s="66">
        <v>1</v>
      </c>
      <c r="E8" s="67">
        <f t="shared" si="1"/>
        <v>10000</v>
      </c>
      <c r="F8" s="22">
        <v>0.6</v>
      </c>
      <c r="G8" s="31">
        <f t="shared" si="2"/>
        <v>1.81088E-3</v>
      </c>
      <c r="H8" s="31">
        <f t="shared" si="3"/>
        <v>0.84852813742385702</v>
      </c>
      <c r="I8" s="52">
        <f t="shared" si="4"/>
        <v>7.1999999999999998E-3</v>
      </c>
    </row>
    <row r="9" spans="1:15" x14ac:dyDescent="0.25">
      <c r="A9" s="17">
        <f t="shared" si="5"/>
        <v>7</v>
      </c>
      <c r="B9" s="68">
        <v>5</v>
      </c>
      <c r="C9" s="23">
        <f t="shared" si="0"/>
        <v>1</v>
      </c>
      <c r="D9" s="66">
        <v>1</v>
      </c>
      <c r="E9" s="67">
        <f t="shared" si="1"/>
        <v>10000</v>
      </c>
      <c r="F9" s="22">
        <v>0.6</v>
      </c>
      <c r="G9" s="31">
        <f t="shared" si="2"/>
        <v>1.81088E-3</v>
      </c>
      <c r="H9" s="31">
        <f t="shared" si="3"/>
        <v>0.84852813742385702</v>
      </c>
      <c r="I9" s="52">
        <f t="shared" si="4"/>
        <v>7.1999999999999998E-3</v>
      </c>
      <c r="K9" s="22"/>
      <c r="L9" s="30" t="s">
        <v>42</v>
      </c>
      <c r="M9" s="30" t="s">
        <v>57</v>
      </c>
      <c r="N9" s="16"/>
      <c r="O9" s="16"/>
    </row>
    <row r="10" spans="1:15" x14ac:dyDescent="0.25">
      <c r="A10" s="17">
        <f t="shared" si="5"/>
        <v>8</v>
      </c>
      <c r="B10" s="68">
        <v>8</v>
      </c>
      <c r="C10" s="23">
        <f t="shared" si="0"/>
        <v>1</v>
      </c>
      <c r="D10" s="66">
        <v>1</v>
      </c>
      <c r="E10" s="67">
        <f t="shared" si="1"/>
        <v>10000</v>
      </c>
      <c r="F10" s="22">
        <v>0.6</v>
      </c>
      <c r="G10" s="31">
        <f t="shared" si="2"/>
        <v>1.81088E-3</v>
      </c>
      <c r="H10" s="31">
        <f t="shared" si="3"/>
        <v>0.84852813742385702</v>
      </c>
      <c r="I10" s="52">
        <f t="shared" si="4"/>
        <v>7.1999999999999998E-3</v>
      </c>
      <c r="K10" s="20" t="s">
        <v>43</v>
      </c>
      <c r="L10" s="26">
        <f>SUM(H3:H5)</f>
        <v>4.2511259684935236</v>
      </c>
      <c r="M10" s="26">
        <f>SUM(I3:I5)</f>
        <v>6.4807199999999995E-2</v>
      </c>
    </row>
    <row r="11" spans="1:15" x14ac:dyDescent="0.25">
      <c r="A11" s="17">
        <f t="shared" si="5"/>
        <v>9</v>
      </c>
      <c r="B11" s="68">
        <v>9</v>
      </c>
      <c r="C11" s="23">
        <f t="shared" si="0"/>
        <v>1</v>
      </c>
      <c r="D11" s="66">
        <v>1</v>
      </c>
      <c r="E11" s="67">
        <f t="shared" si="1"/>
        <v>10000</v>
      </c>
      <c r="F11" s="22">
        <v>0.6</v>
      </c>
      <c r="G11" s="31">
        <f t="shared" si="2"/>
        <v>1.81088E-3</v>
      </c>
      <c r="H11" s="31">
        <f t="shared" si="3"/>
        <v>0.84852813742385702</v>
      </c>
      <c r="I11" s="52">
        <f t="shared" si="4"/>
        <v>7.1999999999999998E-3</v>
      </c>
      <c r="K11" s="20" t="s">
        <v>44</v>
      </c>
      <c r="L11" s="26">
        <f>SUM(H6:H7)</f>
        <v>5.176021638285528E-3</v>
      </c>
      <c r="M11" s="31">
        <f>SUM(I6:I7)</f>
        <v>2.4551999999999998E-6</v>
      </c>
    </row>
    <row r="12" spans="1:15" x14ac:dyDescent="0.25">
      <c r="A12" s="17">
        <f t="shared" si="5"/>
        <v>10</v>
      </c>
      <c r="B12" s="68">
        <v>10</v>
      </c>
      <c r="C12" s="23">
        <f t="shared" si="0"/>
        <v>1</v>
      </c>
      <c r="D12" s="66">
        <v>1</v>
      </c>
      <c r="E12" s="67">
        <f t="shared" si="1"/>
        <v>10000</v>
      </c>
      <c r="F12" s="22">
        <v>0.6</v>
      </c>
      <c r="G12" s="31">
        <f t="shared" si="2"/>
        <v>1.81088E-3</v>
      </c>
      <c r="H12" s="31">
        <f t="shared" si="3"/>
        <v>0.84852813742385702</v>
      </c>
      <c r="I12" s="52">
        <f t="shared" si="4"/>
        <v>7.1999999999999998E-3</v>
      </c>
      <c r="K12" s="20" t="s">
        <v>45</v>
      </c>
      <c r="L12" s="27">
        <f>SUM(H8:H10)</f>
        <v>2.545584412271571</v>
      </c>
      <c r="M12" s="32">
        <f>SUM(I8:I10)</f>
        <v>2.1600000000000001E-2</v>
      </c>
    </row>
    <row r="13" spans="1:15" x14ac:dyDescent="0.25">
      <c r="A13" s="17">
        <f t="shared" si="5"/>
        <v>11</v>
      </c>
      <c r="B13" s="68">
        <v>11</v>
      </c>
      <c r="C13" s="23">
        <f t="shared" si="0"/>
        <v>0.01</v>
      </c>
      <c r="D13" s="66">
        <v>1E-4</v>
      </c>
      <c r="E13" s="67">
        <f t="shared" si="1"/>
        <v>1</v>
      </c>
      <c r="F13" s="22">
        <v>0.6</v>
      </c>
      <c r="G13" s="31">
        <f t="shared" si="2"/>
        <v>1.8108799999999998E-5</v>
      </c>
      <c r="H13" s="31">
        <f t="shared" si="3"/>
        <v>8.485281374238571E-5</v>
      </c>
      <c r="I13" s="52">
        <f t="shared" si="4"/>
        <v>7.2000000000000008E-9</v>
      </c>
      <c r="K13" s="20" t="s">
        <v>46</v>
      </c>
      <c r="L13" s="27">
        <f>SUM(H19:H21)</f>
        <v>4.2427255399330273</v>
      </c>
      <c r="M13" s="27">
        <f>SUM(I19:I21)</f>
        <v>6.4800007199999995E-2</v>
      </c>
    </row>
    <row r="14" spans="1:15" x14ac:dyDescent="0.25">
      <c r="A14" s="17">
        <f t="shared" si="5"/>
        <v>12</v>
      </c>
      <c r="B14" s="68">
        <v>12</v>
      </c>
      <c r="C14" s="23">
        <f t="shared" si="0"/>
        <v>1</v>
      </c>
      <c r="D14" s="66">
        <v>1</v>
      </c>
      <c r="E14" s="67">
        <f t="shared" si="1"/>
        <v>10000</v>
      </c>
      <c r="F14" s="22">
        <v>0.6</v>
      </c>
      <c r="G14" s="31">
        <f t="shared" si="2"/>
        <v>1.81088E-3</v>
      </c>
      <c r="H14" s="31">
        <f t="shared" si="3"/>
        <v>0.84852813742385702</v>
      </c>
      <c r="I14" s="52">
        <f t="shared" si="4"/>
        <v>7.1999999999999998E-3</v>
      </c>
      <c r="K14" s="20" t="s">
        <v>47</v>
      </c>
      <c r="L14" s="22">
        <f>1/SQRT(1/(L10^2)+1/(L11^2)+1/(L12^2))</f>
        <v>5.1760071017263893E-3</v>
      </c>
      <c r="M14" s="31">
        <f>1/(1/M10+1/M11+1/M12)</f>
        <v>2.4548279675169642E-6</v>
      </c>
    </row>
    <row r="15" spans="1:15" x14ac:dyDescent="0.25">
      <c r="A15" s="17">
        <f t="shared" si="5"/>
        <v>13</v>
      </c>
      <c r="B15" s="68">
        <v>13</v>
      </c>
      <c r="C15" s="23">
        <f t="shared" si="0"/>
        <v>0.02</v>
      </c>
      <c r="D15" s="66">
        <v>4.0000000000000002E-4</v>
      </c>
      <c r="E15" s="67">
        <f t="shared" si="1"/>
        <v>4</v>
      </c>
      <c r="F15" s="22">
        <v>0.6</v>
      </c>
      <c r="G15" s="31">
        <f t="shared" si="2"/>
        <v>3.6217599999999997E-5</v>
      </c>
      <c r="H15" s="31">
        <f t="shared" si="3"/>
        <v>3.3941125496954284E-4</v>
      </c>
      <c r="I15" s="28">
        <f t="shared" si="4"/>
        <v>5.7600000000000006E-8</v>
      </c>
      <c r="K15" s="20" t="s">
        <v>48</v>
      </c>
      <c r="L15" s="26">
        <f>1/SQRT(1/(H12^2)+1/(H13^2)+1/(H14^2)+1/(H15^2)+1/(H16^2))</f>
        <v>8.2319320069422622E-5</v>
      </c>
      <c r="M15" s="29">
        <f>1/(1/I12+1/I13+1/I14+1/I15+1/I16)</f>
        <v>6.3999879111339467E-9</v>
      </c>
    </row>
    <row r="16" spans="1:15" x14ac:dyDescent="0.25">
      <c r="A16" s="17">
        <f t="shared" si="5"/>
        <v>14</v>
      </c>
      <c r="B16" s="68">
        <v>14</v>
      </c>
      <c r="C16" s="23">
        <f t="shared" si="0"/>
        <v>2</v>
      </c>
      <c r="D16" s="66">
        <v>4</v>
      </c>
      <c r="E16" s="67">
        <f t="shared" si="1"/>
        <v>40000</v>
      </c>
      <c r="F16" s="22">
        <v>0.6</v>
      </c>
      <c r="G16" s="31">
        <f t="shared" si="2"/>
        <v>3.6217599999999999E-3</v>
      </c>
      <c r="H16" s="31">
        <f t="shared" si="3"/>
        <v>3.3941125496954281</v>
      </c>
      <c r="I16" s="52">
        <f t="shared" si="4"/>
        <v>5.7599999999999998E-2</v>
      </c>
      <c r="K16" s="20" t="s">
        <v>49</v>
      </c>
      <c r="L16" s="26">
        <f>1/SQRT(1/(H18^2)+1/(L13^2)+1/(H22^2))</f>
        <v>3.101579236941029E-4</v>
      </c>
      <c r="M16" s="29">
        <f>1/(1/I18+1/M13+1/I22)</f>
        <v>4.4434255245085507E-8</v>
      </c>
    </row>
    <row r="17" spans="1:31" x14ac:dyDescent="0.25">
      <c r="A17" s="17">
        <f t="shared" si="5"/>
        <v>15</v>
      </c>
      <c r="B17" s="68">
        <v>15</v>
      </c>
      <c r="C17" s="23">
        <f t="shared" si="0"/>
        <v>1</v>
      </c>
      <c r="D17" s="66">
        <v>1</v>
      </c>
      <c r="E17" s="67">
        <f t="shared" si="1"/>
        <v>10000</v>
      </c>
      <c r="F17" s="22">
        <v>0.6</v>
      </c>
      <c r="G17" s="31">
        <f t="shared" si="2"/>
        <v>1.81088E-3</v>
      </c>
      <c r="H17" s="31">
        <f t="shared" si="3"/>
        <v>0.84852813742385702</v>
      </c>
      <c r="I17" s="52">
        <f t="shared" si="4"/>
        <v>7.1999999999999998E-3</v>
      </c>
      <c r="K17" s="20" t="s">
        <v>50</v>
      </c>
      <c r="L17" s="22">
        <f>SUM(L14:L16)</f>
        <v>5.5684843454899147E-3</v>
      </c>
      <c r="M17" s="31">
        <f>SUM(M14:M16)</f>
        <v>2.5056622106731836E-6</v>
      </c>
    </row>
    <row r="18" spans="1:31" x14ac:dyDescent="0.25">
      <c r="A18" s="17">
        <f t="shared" si="5"/>
        <v>16</v>
      </c>
      <c r="B18" s="68">
        <v>17</v>
      </c>
      <c r="C18" s="23">
        <f t="shared" si="0"/>
        <v>0.02</v>
      </c>
      <c r="D18" s="66">
        <v>4.0000000000000002E-4</v>
      </c>
      <c r="E18" s="67">
        <f t="shared" si="1"/>
        <v>4</v>
      </c>
      <c r="F18" s="22">
        <v>0.6</v>
      </c>
      <c r="G18" s="31">
        <f t="shared" si="2"/>
        <v>3.6217599999999997E-5</v>
      </c>
      <c r="H18" s="31">
        <f t="shared" si="3"/>
        <v>3.3941125496954284E-4</v>
      </c>
      <c r="I18" s="28">
        <f t="shared" si="4"/>
        <v>5.7600000000000006E-8</v>
      </c>
      <c r="K18" s="20" t="s">
        <v>51</v>
      </c>
      <c r="L18" s="56">
        <f>1/SQRT(1/(H11^2)+1/(L17^2)+1/(H17^2))</f>
        <v>5.568244544783307E-3</v>
      </c>
      <c r="M18" s="31">
        <f>1/(1/I11+1/M17+1/I17)</f>
        <v>2.5039194394737228E-6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x14ac:dyDescent="0.25">
      <c r="A19" s="17">
        <f t="shared" si="5"/>
        <v>17</v>
      </c>
      <c r="B19" s="68">
        <v>16</v>
      </c>
      <c r="C19" s="23">
        <f t="shared" si="0"/>
        <v>2</v>
      </c>
      <c r="D19" s="66">
        <v>4</v>
      </c>
      <c r="E19" s="67">
        <f t="shared" si="1"/>
        <v>40000</v>
      </c>
      <c r="F19" s="22">
        <v>0.6</v>
      </c>
      <c r="G19" s="31">
        <f t="shared" si="2"/>
        <v>3.6217599999999999E-3</v>
      </c>
      <c r="H19" s="31">
        <f t="shared" si="3"/>
        <v>3.3941125496954281</v>
      </c>
      <c r="I19" s="52">
        <f t="shared" si="4"/>
        <v>5.7599999999999998E-2</v>
      </c>
      <c r="K19" s="22"/>
      <c r="L19" s="22"/>
      <c r="M19" s="22"/>
    </row>
    <row r="20" spans="1:31" x14ac:dyDescent="0.25">
      <c r="A20" s="17">
        <f t="shared" si="5"/>
        <v>18</v>
      </c>
      <c r="B20" s="68">
        <v>18</v>
      </c>
      <c r="C20" s="23">
        <f t="shared" si="0"/>
        <v>0.01</v>
      </c>
      <c r="D20" s="66">
        <v>1E-4</v>
      </c>
      <c r="E20" s="67">
        <f t="shared" si="1"/>
        <v>1</v>
      </c>
      <c r="F20" s="22">
        <v>0.6</v>
      </c>
      <c r="G20" s="31">
        <f t="shared" si="2"/>
        <v>1.8108799999999998E-5</v>
      </c>
      <c r="H20" s="31">
        <f t="shared" si="3"/>
        <v>8.485281374238571E-5</v>
      </c>
      <c r="I20" s="28">
        <f t="shared" si="4"/>
        <v>7.2000000000000008E-9</v>
      </c>
      <c r="K20" s="20" t="s">
        <v>41</v>
      </c>
      <c r="L20" s="26">
        <f>L18</f>
        <v>5.568244544783307E-3</v>
      </c>
      <c r="M20" s="22"/>
    </row>
    <row r="21" spans="1:31" x14ac:dyDescent="0.25">
      <c r="A21" s="17">
        <f t="shared" si="5"/>
        <v>19</v>
      </c>
      <c r="B21" s="68">
        <v>20</v>
      </c>
      <c r="C21" s="23">
        <f t="shared" si="0"/>
        <v>1</v>
      </c>
      <c r="D21" s="66">
        <v>1</v>
      </c>
      <c r="E21" s="67">
        <f t="shared" si="1"/>
        <v>10000</v>
      </c>
      <c r="F21" s="22">
        <v>0.6</v>
      </c>
      <c r="G21" s="31">
        <f t="shared" si="2"/>
        <v>1.81088E-3</v>
      </c>
      <c r="H21" s="31">
        <f t="shared" si="3"/>
        <v>0.84852813742385702</v>
      </c>
      <c r="I21" s="52">
        <f t="shared" si="4"/>
        <v>7.1999999999999998E-3</v>
      </c>
      <c r="K21" s="20" t="s">
        <v>53</v>
      </c>
      <c r="L21" s="26">
        <f>M18</f>
        <v>2.5039194394737228E-6</v>
      </c>
      <c r="M21" s="22"/>
    </row>
    <row r="22" spans="1:31" ht="20.25" x14ac:dyDescent="0.25">
      <c r="A22" s="17">
        <f t="shared" si="5"/>
        <v>20</v>
      </c>
      <c r="B22" s="68">
        <v>19</v>
      </c>
      <c r="C22" s="23">
        <f t="shared" si="0"/>
        <v>0.03</v>
      </c>
      <c r="D22" s="66">
        <v>8.9999999999999998E-4</v>
      </c>
      <c r="E22" s="67">
        <f t="shared" si="1"/>
        <v>9</v>
      </c>
      <c r="F22" s="22">
        <v>0.6</v>
      </c>
      <c r="G22" s="31">
        <f t="shared" si="2"/>
        <v>5.4326399999999995E-5</v>
      </c>
      <c r="H22" s="31">
        <f t="shared" si="3"/>
        <v>7.6367532368147139E-4</v>
      </c>
      <c r="I22" s="28">
        <f t="shared" si="4"/>
        <v>1.9439999999999999E-7</v>
      </c>
      <c r="K22" s="33" t="s">
        <v>39</v>
      </c>
      <c r="L22" s="34">
        <f>L20*SQRT(L5)</f>
        <v>6.1102445911722291E-3</v>
      </c>
      <c r="M22" s="35" t="s">
        <v>40</v>
      </c>
      <c r="N22" s="22" t="s">
        <v>55</v>
      </c>
      <c r="O22" s="22"/>
      <c r="Q22" s="46" t="s">
        <v>58</v>
      </c>
      <c r="R22" s="46" t="s">
        <v>59</v>
      </c>
      <c r="S22" s="18"/>
    </row>
    <row r="23" spans="1:31" x14ac:dyDescent="0.25">
      <c r="H23" s="22"/>
      <c r="I23" s="22"/>
      <c r="K23" s="33" t="s">
        <v>38</v>
      </c>
      <c r="L23" s="36">
        <f>L5*L21/L6</f>
        <v>0.1664988620473076</v>
      </c>
      <c r="M23" s="35" t="s">
        <v>37</v>
      </c>
      <c r="N23" s="22" t="s">
        <v>56</v>
      </c>
      <c r="O23" s="22"/>
      <c r="Q23" s="57">
        <v>100</v>
      </c>
      <c r="R23" s="44">
        <f>$L$22*SQRT(Q23)</f>
        <v>6.1102445911722293E-2</v>
      </c>
      <c r="S23" s="25" t="s">
        <v>35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5"/>
  <sheetViews>
    <sheetView workbookViewId="0"/>
  </sheetViews>
  <sheetFormatPr defaultRowHeight="15" x14ac:dyDescent="0.25"/>
  <sheetData>
    <row r="1" spans="2:6" x14ac:dyDescent="0.25">
      <c r="F1" s="13" t="s">
        <v>13</v>
      </c>
    </row>
    <row r="2" spans="2:6" x14ac:dyDescent="0.25">
      <c r="F2" s="13" t="s">
        <v>21</v>
      </c>
    </row>
    <row r="3" spans="2:6" x14ac:dyDescent="0.25">
      <c r="B3" s="1" t="s">
        <v>0</v>
      </c>
      <c r="C3" s="2">
        <v>101325</v>
      </c>
      <c r="D3" s="3" t="s">
        <v>1</v>
      </c>
      <c r="F3" t="s">
        <v>14</v>
      </c>
    </row>
    <row r="4" spans="2:6" x14ac:dyDescent="0.25">
      <c r="B4" s="4" t="s">
        <v>2</v>
      </c>
      <c r="C4" s="5">
        <v>20</v>
      </c>
      <c r="D4" s="6" t="s">
        <v>10</v>
      </c>
      <c r="F4" t="s">
        <v>17</v>
      </c>
    </row>
    <row r="5" spans="2:6" x14ac:dyDescent="0.25">
      <c r="B5" s="4"/>
      <c r="C5" s="5">
        <f>C4+273.15</f>
        <v>293.14999999999998</v>
      </c>
      <c r="D5" s="6" t="s">
        <v>3</v>
      </c>
      <c r="E5" t="s">
        <v>15</v>
      </c>
      <c r="F5" t="s">
        <v>18</v>
      </c>
    </row>
    <row r="6" spans="2:6" ht="15.75" x14ac:dyDescent="0.25">
      <c r="B6" s="7" t="s">
        <v>4</v>
      </c>
      <c r="C6" s="8">
        <f>C3/(287.055*C5)</f>
        <v>1.2040973427229398</v>
      </c>
      <c r="D6" s="9" t="s">
        <v>5</v>
      </c>
      <c r="F6" t="s">
        <v>16</v>
      </c>
    </row>
    <row r="7" spans="2:6" x14ac:dyDescent="0.25">
      <c r="B7" s="11" t="s">
        <v>6</v>
      </c>
      <c r="C7" s="5">
        <f>C3/(C6*C5)</f>
        <v>287.05500000000001</v>
      </c>
      <c r="D7" s="9" t="s">
        <v>7</v>
      </c>
      <c r="F7" t="s">
        <v>19</v>
      </c>
    </row>
    <row r="8" spans="2:6" ht="15.75" x14ac:dyDescent="0.25">
      <c r="B8" s="14" t="s">
        <v>8</v>
      </c>
      <c r="C8" s="5">
        <f>0.0000037143+0.000000049286*C5</f>
        <v>1.8162490899999998E-5</v>
      </c>
      <c r="D8" s="9" t="s">
        <v>9</v>
      </c>
    </row>
    <row r="9" spans="2:6" ht="15.75" x14ac:dyDescent="0.25">
      <c r="B9" s="12" t="s">
        <v>32</v>
      </c>
      <c r="C9" s="10">
        <f>C8/C6</f>
        <v>1.5083905806923742E-5</v>
      </c>
      <c r="D9" s="15" t="s">
        <v>33</v>
      </c>
      <c r="F9" t="s">
        <v>25</v>
      </c>
    </row>
    <row r="10" spans="2:6" x14ac:dyDescent="0.25">
      <c r="F10" s="13" t="s">
        <v>20</v>
      </c>
    </row>
    <row r="11" spans="2:6" x14ac:dyDescent="0.25">
      <c r="F11" t="s">
        <v>22</v>
      </c>
    </row>
    <row r="13" spans="2:6" x14ac:dyDescent="0.25">
      <c r="F13" s="13" t="s">
        <v>23</v>
      </c>
    </row>
    <row r="14" spans="2:6" x14ac:dyDescent="0.25">
      <c r="F14" t="s">
        <v>24</v>
      </c>
    </row>
    <row r="15" spans="2:6" x14ac:dyDescent="0.25">
      <c r="F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CONTAM</vt:lpstr>
      <vt:lpstr>MATLAB</vt:lpstr>
      <vt:lpstr>AIRNET</vt:lpstr>
      <vt:lpstr>Info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Stuart Dols</dc:creator>
  <cp:lastModifiedBy>Dols, William Stuart (Fed)</cp:lastModifiedBy>
  <dcterms:created xsi:type="dcterms:W3CDTF">2012-05-23T18:52:29Z</dcterms:created>
  <dcterms:modified xsi:type="dcterms:W3CDTF">2025-06-12T13:47:35Z</dcterms:modified>
</cp:coreProperties>
</file>