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MATLAB_Work\ContamXJR_MatLab\contam-airnet\"/>
    </mc:Choice>
  </mc:AlternateContent>
  <xr:revisionPtr revIDLastSave="0" documentId="13_ncr:1_{BFD208B0-A9C1-493F-BCFC-E39B24C427EF}" xr6:coauthVersionLast="47" xr6:coauthVersionMax="47" xr10:uidLastSave="{00000000-0000-0000-0000-000000000000}"/>
  <bookViews>
    <workbookView xWindow="-120" yWindow="-120" windowWidth="29040" windowHeight="17520" tabRatio="713" xr2:uid="{00000000-000D-0000-FFFF-FFFF00000000}"/>
  </bookViews>
  <sheets>
    <sheet name="airnet-stack1.prj" sheetId="1" r:id="rId1"/>
  </sheets>
  <definedNames>
    <definedName name="NodeDensity">#REF!</definedName>
    <definedName name="NodeHeight">#REF!</definedName>
    <definedName name="NodeNumber">#REF!</definedName>
    <definedName name="P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Q25" i="1"/>
  <c r="Z33" i="1"/>
  <c r="Z47" i="1"/>
  <c r="Y32" i="1" l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W23" i="1"/>
  <c r="W24" i="1" l="1"/>
  <c r="W25" i="1" l="1"/>
  <c r="W26" i="1" l="1"/>
  <c r="W27" i="1" l="1"/>
  <c r="H39" i="1"/>
  <c r="C39" i="1"/>
  <c r="W28" i="1" l="1"/>
  <c r="I26" i="1"/>
  <c r="H30" i="1" s="1"/>
  <c r="I38" i="1" s="1"/>
  <c r="H26" i="1"/>
  <c r="I22" i="1"/>
  <c r="H22" i="1"/>
  <c r="H13" i="1"/>
  <c r="H14" i="1" s="1"/>
  <c r="H7" i="1"/>
  <c r="H8" i="1" s="1"/>
  <c r="H10" i="1" s="1"/>
  <c r="C13" i="1"/>
  <c r="W29" i="1" l="1"/>
  <c r="C14" i="1"/>
  <c r="C21" i="1"/>
  <c r="H25" i="1"/>
  <c r="I25" i="1"/>
  <c r="H18" i="1"/>
  <c r="H19" i="1" s="1"/>
  <c r="H40" i="1" s="1"/>
  <c r="H29" i="1"/>
  <c r="I37" i="1" s="1"/>
  <c r="H11" i="1"/>
  <c r="D26" i="1"/>
  <c r="C22" i="1"/>
  <c r="C26" i="1"/>
  <c r="C8" i="1"/>
  <c r="D21" i="1" s="1"/>
  <c r="X9" i="1"/>
  <c r="X10" i="1" s="1"/>
  <c r="W30" i="1" l="1"/>
  <c r="C29" i="1"/>
  <c r="C25" i="1"/>
  <c r="C9" i="1"/>
  <c r="C18" i="1"/>
  <c r="D37" i="1"/>
  <c r="X11" i="1"/>
  <c r="H33" i="1"/>
  <c r="H34" i="1"/>
  <c r="I34" i="1" s="1"/>
  <c r="I33" i="1"/>
  <c r="X12" i="1"/>
  <c r="X13" i="1" s="1"/>
  <c r="W31" i="1" l="1"/>
  <c r="X19" i="1"/>
  <c r="X17" i="1"/>
  <c r="C11" i="1"/>
  <c r="C30" i="1"/>
  <c r="D22" i="1"/>
  <c r="D25" i="1" s="1"/>
  <c r="W32" i="1" l="1"/>
  <c r="C33" i="1"/>
  <c r="D33" i="1" s="1"/>
  <c r="D38" i="1"/>
  <c r="C34" i="1" l="1"/>
  <c r="D34" i="1" s="1"/>
  <c r="C19" i="1"/>
  <c r="C40" i="1" s="1"/>
  <c r="Z27" i="1"/>
  <c r="Z22" i="1" l="1"/>
  <c r="Z28" i="1"/>
  <c r="Z29" i="1"/>
  <c r="Z30" i="1"/>
  <c r="Z25" i="1"/>
  <c r="Z32" i="1"/>
  <c r="Z24" i="1"/>
  <c r="Z26" i="1"/>
  <c r="Z23" i="1"/>
  <c r="Z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Stuart Dols</author>
    <author>Dols, William Stuart (Fed)</author>
  </authors>
  <commentList>
    <comment ref="B17" authorId="0" shapeId="0" xr:uid="{00000000-0006-0000-0000-000001000000}">
      <text>
        <r>
          <rPr>
            <sz val="8"/>
            <color indexed="81"/>
            <rFont val="Tahoma"/>
            <family val="2"/>
          </rPr>
          <t>Distance from Neutral plane is h/2, because both openings are the same.</t>
        </r>
      </text>
    </comment>
    <comment ref="Z21" authorId="1" shapeId="0" xr:uid="{EEE2E23A-0211-4B0E-BF1E-7FA6BE77086F}">
      <text>
        <r>
          <rPr>
            <sz val="9"/>
            <color indexed="81"/>
            <rFont val="Tahoma"/>
            <family val="2"/>
          </rPr>
          <t>Positive =&gt; 
Flow from Ambient into Shaft</t>
        </r>
      </text>
    </comment>
    <comment ref="C32" authorId="1" shapeId="0" xr:uid="{4B8A80C1-BB17-4BDF-B94E-7FA04AA567F7}">
      <text>
        <r>
          <rPr>
            <sz val="9"/>
            <color indexed="81"/>
            <rFont val="Tahoma"/>
            <family val="2"/>
          </rPr>
          <t>This assumes that half of the stack pressure is applied at each opening.</t>
        </r>
      </text>
    </comment>
    <comment ref="C36" authorId="0" shapeId="0" xr:uid="{00000000-0006-0000-0000-000002000000}">
      <text>
        <r>
          <rPr>
            <sz val="8"/>
            <color indexed="81"/>
            <rFont val="Tahoma"/>
            <family val="2"/>
          </rPr>
          <t>Actual pressure differences calculated by CONTAM are different from theory due to flow being dependant on density of air flow through the openings.</t>
        </r>
      </text>
    </comment>
    <comment ref="H37" authorId="0" shapeId="0" xr:uid="{00000000-0006-0000-0000-000003000000}">
      <text>
        <r>
          <rPr>
            <sz val="8"/>
            <color indexed="81"/>
            <rFont val="Tahoma"/>
            <family val="2"/>
          </rPr>
          <t>From AIRNET NISTIR 89-4072</t>
        </r>
      </text>
    </comment>
  </commentList>
</comments>
</file>

<file path=xl/sharedStrings.xml><?xml version="1.0" encoding="utf-8"?>
<sst xmlns="http://schemas.openxmlformats.org/spreadsheetml/2006/main" count="180" uniqueCount="99">
  <si>
    <t>Pstd</t>
  </si>
  <si>
    <t>Pa</t>
  </si>
  <si>
    <t>Tstd</t>
  </si>
  <si>
    <t>K</t>
  </si>
  <si>
    <r>
      <rPr>
        <sz val="12"/>
        <rFont val="Symbol"/>
        <family val="1"/>
        <charset val="2"/>
      </rPr>
      <t>r</t>
    </r>
    <r>
      <rPr>
        <sz val="10"/>
        <rFont val="Arial"/>
        <family val="2"/>
      </rPr>
      <t>std</t>
    </r>
  </si>
  <si>
    <t>kg/m3</t>
  </si>
  <si>
    <t>Rair</t>
  </si>
  <si>
    <t>J/kg-K</t>
  </si>
  <si>
    <t>m</t>
  </si>
  <si>
    <t>kg/m-s</t>
  </si>
  <si>
    <t>C</t>
  </si>
  <si>
    <t>Tn</t>
  </si>
  <si>
    <r>
      <rPr>
        <sz val="12"/>
        <rFont val="Symbol"/>
        <family val="1"/>
        <charset val="2"/>
      </rPr>
      <t>r</t>
    </r>
    <r>
      <rPr>
        <sz val="10"/>
        <rFont val="Arial"/>
        <family val="2"/>
      </rPr>
      <t>n</t>
    </r>
  </si>
  <si>
    <t>Pbar</t>
  </si>
  <si>
    <t>ORIFICE</t>
  </si>
  <si>
    <t>Q = Cd A sqrt(2 dP / rho)</t>
  </si>
  <si>
    <t>where</t>
  </si>
  <si>
    <t>w = rho Q = Cd A sqrt(2 rho dP)</t>
  </si>
  <si>
    <t xml:space="preserve">     = C sqrt(rho dP) in general powerlaw form</t>
  </si>
  <si>
    <t xml:space="preserve">     C = Cd A sqrt(2)</t>
  </si>
  <si>
    <t>For turbulent flow:</t>
  </si>
  <si>
    <t>w-trans</t>
  </si>
  <si>
    <t>A</t>
  </si>
  <si>
    <t>Cd</t>
  </si>
  <si>
    <t>D</t>
  </si>
  <si>
    <t>m2</t>
  </si>
  <si>
    <t>n</t>
  </si>
  <si>
    <t>m2/s</t>
  </si>
  <si>
    <t>Ct</t>
  </si>
  <si>
    <t>kg/s</t>
  </si>
  <si>
    <r>
      <t>x sqrt(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P)</t>
    </r>
  </si>
  <si>
    <t>p-0m</t>
  </si>
  <si>
    <t>p-10m</t>
  </si>
  <si>
    <r>
      <t>P</t>
    </r>
    <r>
      <rPr>
        <vertAlign val="subscript"/>
        <sz val="11"/>
        <color theme="1"/>
        <rFont val="Calibri"/>
        <family val="2"/>
        <scheme val="minor"/>
      </rPr>
      <t>bar</t>
    </r>
  </si>
  <si>
    <t>w0m</t>
  </si>
  <si>
    <t>w10m</t>
  </si>
  <si>
    <r>
      <t>T</t>
    </r>
    <r>
      <rPr>
        <vertAlign val="subscript"/>
        <sz val="11"/>
        <color theme="1"/>
        <rFont val="Calibri"/>
        <family val="2"/>
        <scheme val="minor"/>
      </rPr>
      <t>out</t>
    </r>
  </si>
  <si>
    <t>g</t>
  </si>
  <si>
    <t>m/s2</t>
  </si>
  <si>
    <r>
      <t>R</t>
    </r>
    <r>
      <rPr>
        <vertAlign val="subscript"/>
        <sz val="10"/>
        <rFont val="Arial"/>
        <family val="2"/>
      </rPr>
      <t>air</t>
    </r>
  </si>
  <si>
    <t>h</t>
  </si>
  <si>
    <r>
      <t>1/R</t>
    </r>
    <r>
      <rPr>
        <vertAlign val="subscript"/>
        <sz val="10"/>
        <rFont val="Arial"/>
        <family val="2"/>
      </rPr>
      <t>air</t>
    </r>
  </si>
  <si>
    <t>&lt;---- TURB FLOW EQUATION</t>
  </si>
  <si>
    <t>AIRNET</t>
  </si>
  <si>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stack</t>
    </r>
  </si>
  <si>
    <t>FlowIn</t>
  </si>
  <si>
    <t>FlowOut</t>
  </si>
  <si>
    <t>FlowIn-0m</t>
  </si>
  <si>
    <t>FlowOut-10m</t>
  </si>
  <si>
    <r>
      <t>T</t>
    </r>
    <r>
      <rPr>
        <vertAlign val="subscript"/>
        <sz val="11"/>
        <color theme="1"/>
        <rFont val="Calibri"/>
        <family val="2"/>
        <scheme val="minor"/>
      </rPr>
      <t>zone</t>
    </r>
  </si>
  <si>
    <r>
      <rPr>
        <sz val="12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zone</t>
    </r>
  </si>
  <si>
    <r>
      <rPr>
        <sz val="12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ambt</t>
    </r>
  </si>
  <si>
    <r>
      <t>T</t>
    </r>
    <r>
      <rPr>
        <vertAlign val="subscript"/>
        <sz val="11"/>
        <color theme="1"/>
        <rFont val="Calibri"/>
        <family val="2"/>
        <scheme val="minor"/>
      </rPr>
      <t>ambt</t>
    </r>
  </si>
  <si>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CONTAM</t>
    </r>
  </si>
  <si>
    <r>
      <rPr>
        <b/>
        <sz val="10"/>
        <rFont val="Symbol"/>
        <family val="1"/>
        <charset val="2"/>
      </rPr>
      <t>D</t>
    </r>
    <r>
      <rPr>
        <b/>
        <sz val="10"/>
        <rFont val="Arial"/>
        <family val="2"/>
      </rPr>
      <t>P</t>
    </r>
    <r>
      <rPr>
        <b/>
        <vertAlign val="subscript"/>
        <sz val="10"/>
        <rFont val="Arial"/>
        <family val="2"/>
      </rPr>
      <t>AIRNET</t>
    </r>
  </si>
  <si>
    <t>Diff</t>
  </si>
  <si>
    <t>z</t>
  </si>
  <si>
    <t>dP</t>
  </si>
  <si>
    <t>T1</t>
  </si>
  <si>
    <t>D1</t>
  </si>
  <si>
    <t>T2</t>
  </si>
  <si>
    <t>D2</t>
  </si>
  <si>
    <t>ambt</t>
  </si>
  <si>
    <t>#</t>
  </si>
  <si>
    <t>CONTAM 2.4c and 3.4</t>
  </si>
  <si>
    <t>NOTE: Diagram appears best with Courier New font.</t>
  </si>
  <si>
    <t xml:space="preserve">      ┌──────┐ </t>
  </si>
  <si>
    <t xml:space="preserve">  1   │     1◊ </t>
  </si>
  <si>
    <t xml:space="preserve">      │ 2,A  │ </t>
  </si>
  <si>
    <t xml:space="preserve"> ambt │     2◊ </t>
  </si>
  <si>
    <t xml:space="preserve">      └──────┘ </t>
  </si>
  <si>
    <t>Zone Results</t>
  </si>
  <si>
    <t>Airflow Path Results</t>
  </si>
  <si>
    <t>Tambt</t>
  </si>
  <si>
    <t>WindSpeed</t>
  </si>
  <si>
    <t>Name</t>
  </si>
  <si>
    <t>Pressure[Pa]</t>
  </si>
  <si>
    <t>Density[kg/m3]</t>
  </si>
  <si>
    <t>mdot[kg/s]</t>
  </si>
  <si>
    <t>dP[Pa]</t>
  </si>
  <si>
    <t>D[kg/m3]</t>
  </si>
  <si>
    <t>Pw[Pa]</t>
  </si>
  <si>
    <t>Ps[Pa]</t>
  </si>
  <si>
    <t>FlowDir</t>
  </si>
  <si>
    <t>2&lt;--1</t>
  </si>
  <si>
    <t>2--&gt;1</t>
  </si>
  <si>
    <t>MATLAB</t>
  </si>
  <si>
    <t>THEORETICAL with MULTIPLE OPENINGS</t>
  </si>
  <si>
    <t>Pambt</t>
  </si>
  <si>
    <t>Pshaft</t>
  </si>
  <si>
    <t>Date</t>
  </si>
  <si>
    <t>Time</t>
  </si>
  <si>
    <t>Link</t>
  </si>
  <si>
    <t>F1</t>
  </si>
  <si>
    <t>F0 [kg/s]</t>
  </si>
  <si>
    <t>simread</t>
  </si>
  <si>
    <t>dPcx</t>
  </si>
  <si>
    <t>Using AVERAGE density calculation method</t>
  </si>
  <si>
    <r>
      <rPr>
        <sz val="11"/>
        <color theme="1"/>
        <rFont val="Calibri"/>
        <family val="2"/>
        <scheme val="minor"/>
      </rPr>
      <t>Ct·sqrt(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</si>
</sst>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"/>
    <numFmt numFmtId="165" formatCode="0.00000"/>
    <numFmt numFmtId="166" formatCode="0.00000000"/>
    <numFmt numFmtId="167" formatCode="0.0000000"/>
    <numFmt numFmtId="168" formatCode="0.000000"/>
    <numFmt numFmtId="169" formatCode="0.000000000"/>
    <numFmt numFmtId="170" formatCode="0.000"/>
    <numFmt numFmtId="171" formatCode="0.0000E+00"/>
    <numFmt numFmtId="172" formatCode="_(* #,##0.0000_);_(* \(#,##0.0000\);_(* &quot;-&quot;??_);_(@_)"/>
    <numFmt numFmtId="173" formatCode="0.0"/>
    <numFmt numFmtId="174" formatCode="0.00000%"/>
    <numFmt numFmtId="175" formatCode="_(* #,##0.000_);_(* \(#,##0.000\);_(* &quot;-&quot;??_);_(@_)"/>
  </numFmts>
  <fonts count="2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sz val="11"/>
      <color theme="1"/>
      <name val="Symbol"/>
      <family val="1"/>
      <charset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theme="1"/>
      <name val="Calibri"/>
      <family val="2"/>
      <charset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16" fillId="5" borderId="13" applyNumberFormat="0" applyFont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8" fillId="6" borderId="0" applyNumberFormat="0" applyBorder="0" applyAlignment="0" applyProtection="0"/>
  </cellStyleXfs>
  <cellXfs count="104">
    <xf numFmtId="0" fontId="0" fillId="0" borderId="0" xfId="0"/>
    <xf numFmtId="0" fontId="5" fillId="0" borderId="2" xfId="0" applyFont="1" applyFill="1" applyBorder="1"/>
    <xf numFmtId="0" fontId="0" fillId="0" borderId="3" xfId="0" applyBorder="1"/>
    <xf numFmtId="0" fontId="5" fillId="0" borderId="4" xfId="0" applyFont="1" applyFill="1" applyBorder="1"/>
    <xf numFmtId="0" fontId="5" fillId="0" borderId="5" xfId="0" applyFont="1" applyFill="1" applyBorder="1"/>
    <xf numFmtId="0" fontId="0" fillId="0" borderId="0" xfId="0" applyBorder="1"/>
    <xf numFmtId="0" fontId="5" fillId="0" borderId="6" xfId="0" applyFont="1" applyFill="1" applyBorder="1"/>
    <xf numFmtId="0" fontId="6" fillId="0" borderId="5" xfId="0" applyFont="1" applyBorder="1"/>
    <xf numFmtId="164" fontId="0" fillId="0" borderId="0" xfId="0" applyNumberFormat="1" applyBorder="1"/>
    <xf numFmtId="0" fontId="5" fillId="0" borderId="6" xfId="0" applyFont="1" applyBorder="1"/>
    <xf numFmtId="0" fontId="0" fillId="0" borderId="8" xfId="0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7" fillId="0" borderId="7" xfId="0" applyFont="1" applyBorder="1"/>
    <xf numFmtId="0" fontId="6" fillId="0" borderId="0" xfId="0" applyFont="1" applyBorder="1"/>
    <xf numFmtId="0" fontId="4" fillId="0" borderId="0" xfId="0" applyFont="1"/>
    <xf numFmtId="0" fontId="7" fillId="0" borderId="5" xfId="0" applyFont="1" applyBorder="1"/>
    <xf numFmtId="0" fontId="0" fillId="0" borderId="9" xfId="0" applyBorder="1"/>
    <xf numFmtId="165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2" xfId="0" applyBorder="1"/>
    <xf numFmtId="166" fontId="0" fillId="0" borderId="11" xfId="0" applyNumberFormat="1" applyBorder="1"/>
    <xf numFmtId="165" fontId="2" fillId="3" borderId="0" xfId="2" applyNumberFormat="1" applyBorder="1"/>
    <xf numFmtId="0" fontId="10" fillId="0" borderId="0" xfId="1" applyFont="1" applyFill="1"/>
    <xf numFmtId="167" fontId="10" fillId="0" borderId="0" xfId="0" applyNumberFormat="1" applyFont="1" applyFill="1"/>
    <xf numFmtId="169" fontId="10" fillId="0" borderId="0" xfId="1" applyNumberFormat="1" applyFont="1" applyFill="1"/>
    <xf numFmtId="164" fontId="0" fillId="0" borderId="0" xfId="0" applyNumberFormat="1"/>
    <xf numFmtId="170" fontId="2" fillId="3" borderId="0" xfId="2" applyNumberFormat="1" applyBorder="1"/>
    <xf numFmtId="0" fontId="13" fillId="0" borderId="0" xfId="0" applyFont="1" applyBorder="1"/>
    <xf numFmtId="0" fontId="13" fillId="0" borderId="0" xfId="0" applyFont="1" applyFill="1" applyBorder="1"/>
    <xf numFmtId="0" fontId="13" fillId="0" borderId="0" xfId="0" applyFont="1" applyBorder="1" applyAlignment="1">
      <alignment horizontal="center" vertical="center"/>
    </xf>
    <xf numFmtId="11" fontId="10" fillId="0" borderId="0" xfId="0" applyNumberFormat="1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0" applyNumberFormat="1"/>
    <xf numFmtId="172" fontId="0" fillId="0" borderId="0" xfId="0" applyNumberFormat="1"/>
    <xf numFmtId="168" fontId="0" fillId="0" borderId="0" xfId="0" applyNumberFormat="1" applyBorder="1"/>
    <xf numFmtId="0" fontId="0" fillId="0" borderId="0" xfId="0" applyAlignment="1">
      <alignment horizontal="center"/>
    </xf>
    <xf numFmtId="2" fontId="3" fillId="4" borderId="1" xfId="3" applyNumberFormat="1"/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173" fontId="0" fillId="0" borderId="0" xfId="0" applyNumberFormat="1"/>
    <xf numFmtId="164" fontId="0" fillId="0" borderId="0" xfId="5" applyNumberFormat="1" applyFont="1"/>
    <xf numFmtId="0" fontId="0" fillId="7" borderId="0" xfId="0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171" fontId="0" fillId="0" borderId="0" xfId="0" applyNumberFormat="1" applyBorder="1"/>
    <xf numFmtId="171" fontId="10" fillId="0" borderId="0" xfId="0" applyNumberFormat="1" applyFont="1" applyFill="1" applyBorder="1"/>
    <xf numFmtId="174" fontId="10" fillId="0" borderId="0" xfId="6" applyNumberFormat="1" applyFont="1" applyFill="1"/>
    <xf numFmtId="165" fontId="0" fillId="0" borderId="0" xfId="0" applyNumberFormat="1" applyBorder="1"/>
    <xf numFmtId="0" fontId="20" fillId="0" borderId="0" xfId="0" applyFont="1"/>
    <xf numFmtId="175" fontId="3" fillId="4" borderId="1" xfId="5" applyNumberFormat="1" applyFont="1" applyFill="1" applyBorder="1"/>
    <xf numFmtId="0" fontId="0" fillId="7" borderId="0" xfId="0" applyFill="1"/>
    <xf numFmtId="0" fontId="0" fillId="0" borderId="0" xfId="0" applyNumberFormat="1"/>
    <xf numFmtId="0" fontId="4" fillId="7" borderId="0" xfId="0" applyFont="1" applyFill="1"/>
    <xf numFmtId="0" fontId="3" fillId="4" borderId="0" xfId="3" applyBorder="1"/>
    <xf numFmtId="167" fontId="2" fillId="3" borderId="0" xfId="2" applyNumberFormat="1" applyBorder="1"/>
    <xf numFmtId="164" fontId="2" fillId="3" borderId="0" xfId="2" applyNumberFormat="1" applyBorder="1"/>
    <xf numFmtId="164" fontId="0" fillId="0" borderId="0" xfId="0" applyNumberFormat="1" applyFont="1" applyBorder="1"/>
    <xf numFmtId="165" fontId="0" fillId="5" borderId="0" xfId="4" applyNumberFormat="1" applyFont="1" applyBorder="1"/>
    <xf numFmtId="0" fontId="4" fillId="0" borderId="0" xfId="0" applyFont="1" applyBorder="1" applyAlignment="1">
      <alignment horizontal="center" vertical="center"/>
    </xf>
    <xf numFmtId="166" fontId="0" fillId="0" borderId="0" xfId="0" applyNumberFormat="1" applyBorder="1"/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/>
    <xf numFmtId="166" fontId="10" fillId="0" borderId="0" xfId="0" applyNumberFormat="1" applyFont="1" applyFill="1" applyBorder="1"/>
    <xf numFmtId="166" fontId="10" fillId="0" borderId="0" xfId="1" applyNumberFormat="1" applyFont="1" applyFill="1" applyBorder="1"/>
    <xf numFmtId="169" fontId="10" fillId="0" borderId="0" xfId="1" applyNumberFormat="1" applyFont="1" applyFill="1" applyBorder="1"/>
    <xf numFmtId="167" fontId="10" fillId="0" borderId="0" xfId="1" applyNumberFormat="1" applyFont="1" applyFill="1" applyBorder="1"/>
    <xf numFmtId="167" fontId="10" fillId="0" borderId="0" xfId="0" applyNumberFormat="1" applyFont="1" applyFill="1" applyBorder="1"/>
    <xf numFmtId="165" fontId="10" fillId="5" borderId="0" xfId="4" applyNumberFormat="1" applyFont="1" applyBorder="1"/>
    <xf numFmtId="0" fontId="0" fillId="0" borderId="0" xfId="0" applyNumberFormat="1" applyAlignment="1">
      <alignment horizontal="center"/>
    </xf>
    <xf numFmtId="167" fontId="0" fillId="0" borderId="0" xfId="0" applyNumberFormat="1" applyBorder="1"/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1" fontId="0" fillId="0" borderId="0" xfId="0" applyNumberFormat="1" applyBorder="1"/>
    <xf numFmtId="167" fontId="1" fillId="2" borderId="0" xfId="1" applyNumberFormat="1" applyBorder="1"/>
    <xf numFmtId="0" fontId="3" fillId="4" borderId="1" xfId="3" applyBorder="1"/>
    <xf numFmtId="165" fontId="0" fillId="5" borderId="13" xfId="4" applyNumberFormat="1" applyFont="1" applyBorder="1"/>
    <xf numFmtId="165" fontId="3" fillId="4" borderId="1" xfId="3" applyNumberFormat="1" applyBorder="1"/>
    <xf numFmtId="0" fontId="5" fillId="7" borderId="0" xfId="0" applyFont="1" applyFill="1" applyBorder="1"/>
    <xf numFmtId="0" fontId="10" fillId="7" borderId="0" xfId="0" applyFont="1" applyFill="1" applyBorder="1"/>
    <xf numFmtId="0" fontId="10" fillId="7" borderId="0" xfId="0" applyFont="1" applyFill="1" applyBorder="1" applyAlignment="1">
      <alignment horizontal="center" vertical="center"/>
    </xf>
    <xf numFmtId="171" fontId="0" fillId="7" borderId="0" xfId="0" applyNumberFormat="1" applyFill="1" applyBorder="1"/>
    <xf numFmtId="171" fontId="10" fillId="7" borderId="0" xfId="0" applyNumberFormat="1" applyFont="1" applyFill="1" applyBorder="1"/>
    <xf numFmtId="11" fontId="10" fillId="7" borderId="0" xfId="0" applyNumberFormat="1" applyFont="1" applyFill="1"/>
    <xf numFmtId="16" fontId="0" fillId="0" borderId="0" xfId="0" applyNumberFormat="1"/>
    <xf numFmtId="21" fontId="0" fillId="0" borderId="0" xfId="0" applyNumberFormat="1"/>
    <xf numFmtId="0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1" fillId="2" borderId="0" xfId="1" applyNumberFormat="1" applyAlignment="1">
      <alignment horizontal="right"/>
    </xf>
    <xf numFmtId="167" fontId="1" fillId="2" borderId="0" xfId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3" borderId="0" xfId="2" applyNumberFormat="1" applyAlignment="1">
      <alignment horizontal="right"/>
    </xf>
    <xf numFmtId="165" fontId="2" fillId="3" borderId="0" xfId="2" applyNumberFormat="1"/>
    <xf numFmtId="0" fontId="18" fillId="6" borderId="0" xfId="7" applyNumberFormat="1" applyAlignment="1">
      <alignment horizontal="right"/>
    </xf>
    <xf numFmtId="165" fontId="18" fillId="6" borderId="0" xfId="7" applyNumberFormat="1"/>
    <xf numFmtId="166" fontId="21" fillId="0" borderId="0" xfId="0" applyNumberFormat="1" applyFont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168" fontId="22" fillId="5" borderId="13" xfId="4" applyNumberFormat="1" applyFont="1" applyBorder="1"/>
  </cellXfs>
  <cellStyles count="8">
    <cellStyle name="Bad" xfId="2" builtinId="27"/>
    <cellStyle name="Comma" xfId="5" builtinId="3"/>
    <cellStyle name="Good" xfId="1" builtinId="26"/>
    <cellStyle name="Input" xfId="3" builtinId="20"/>
    <cellStyle name="Neutral" xfId="7" builtinId="28"/>
    <cellStyle name="Normal" xfId="0" builtinId="0"/>
    <cellStyle name="Note" xfId="4" builtinId="10"/>
    <cellStyle name="Percent" xfId="6" builtinId="5"/>
  </cellStyles>
  <dxfs count="0"/>
  <tableStyles count="0" defaultTableStyle="TableStyleMedium2" defaultPivotStyle="PivotStyleLight16"/>
  <colors>
    <mruColors>
      <color rgb="FFFA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2510936132982"/>
          <c:y val="5.0925925925925923E-2"/>
          <c:w val="0.84116666666666662"/>
          <c:h val="0.7400789009131471"/>
        </c:manualLayout>
      </c:layout>
      <c:scatterChart>
        <c:scatterStyle val="smoothMarker"/>
        <c:varyColors val="0"/>
        <c:ser>
          <c:idx val="1"/>
          <c:order val="0"/>
          <c:tx>
            <c:v>CONTAM</c:v>
          </c:tx>
          <c:marker>
            <c:symbol val="none"/>
          </c:marker>
          <c:xVal>
            <c:numRef>
              <c:f>'airnet-stack1.prj'!$Z$36:$Z$46</c:f>
              <c:numCache>
                <c:formatCode>General</c:formatCode>
                <c:ptCount val="11"/>
                <c:pt idx="0">
                  <c:v>-4.3525999999999998</c:v>
                </c:pt>
                <c:pt idx="1">
                  <c:v>-3.4881000000000002</c:v>
                </c:pt>
                <c:pt idx="2">
                  <c:v>-2.6236000000000002</c:v>
                </c:pt>
                <c:pt idx="3">
                  <c:v>-1.7591000000000001</c:v>
                </c:pt>
                <c:pt idx="4">
                  <c:v>-0.89463000000000004</c:v>
                </c:pt>
                <c:pt idx="5">
                  <c:v>-3.0143E-2</c:v>
                </c:pt>
                <c:pt idx="6">
                  <c:v>0.83435000000000004</c:v>
                </c:pt>
                <c:pt idx="7">
                  <c:v>1.6988000000000001</c:v>
                </c:pt>
                <c:pt idx="8">
                  <c:v>2.5632999999999999</c:v>
                </c:pt>
                <c:pt idx="9">
                  <c:v>3.4278</c:v>
                </c:pt>
                <c:pt idx="10">
                  <c:v>4.2923</c:v>
                </c:pt>
              </c:numCache>
            </c:numRef>
          </c:xVal>
          <c:yVal>
            <c:numRef>
              <c:f>'airnet-stack1.prj'!$W$22:$W$32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4-430E-9B52-3C1ACB8FA670}"/>
            </c:ext>
          </c:extLst>
        </c:ser>
        <c:ser>
          <c:idx val="0"/>
          <c:order val="1"/>
          <c:tx>
            <c:v>Theory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'airnet-stack1.prj'!$Z$22:$Z$32</c:f>
              <c:numCache>
                <c:formatCode>0.00000</c:formatCode>
                <c:ptCount val="11"/>
                <c:pt idx="0">
                  <c:v>-4.3224515812080355</c:v>
                </c:pt>
                <c:pt idx="1">
                  <c:v>-3.4579612649664284</c:v>
                </c:pt>
                <c:pt idx="2">
                  <c:v>-2.5934709487248213</c:v>
                </c:pt>
                <c:pt idx="3">
                  <c:v>-1.7289806324832142</c:v>
                </c:pt>
                <c:pt idx="4">
                  <c:v>-0.8644903162416071</c:v>
                </c:pt>
                <c:pt idx="5">
                  <c:v>0</c:v>
                </c:pt>
                <c:pt idx="6">
                  <c:v>0.8644903162416071</c:v>
                </c:pt>
                <c:pt idx="7">
                  <c:v>1.7289806324832142</c:v>
                </c:pt>
                <c:pt idx="8">
                  <c:v>2.5934709487248213</c:v>
                </c:pt>
                <c:pt idx="9">
                  <c:v>3.4579612649664284</c:v>
                </c:pt>
                <c:pt idx="10">
                  <c:v>4.3224515812080355</c:v>
                </c:pt>
              </c:numCache>
            </c:numRef>
          </c:xVal>
          <c:yVal>
            <c:numRef>
              <c:f>'airnet-stack1.prj'!$W$22:$W$32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4-430E-9B52-3C1ACB8F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49968"/>
        <c:axId val="808748888"/>
      </c:scatterChart>
      <c:valAx>
        <c:axId val="8087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(Pambt-Pshaft)</a:t>
                </a:r>
                <a:r>
                  <a:rPr lang="en-US" baseline="0"/>
                  <a:t> [Pa]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642366579177605"/>
              <c:y val="0.817882121722969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48888"/>
        <c:crosses val="autoZero"/>
        <c:crossBetween val="midCat"/>
      </c:valAx>
      <c:valAx>
        <c:axId val="8087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(from NL)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55937133297924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49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1554658792650925"/>
          <c:y val="0.8962086117205782"/>
          <c:w val="0.43001771653543308"/>
          <c:h val="7.4825864746318707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2510936132982"/>
          <c:y val="5.0925925925925923E-2"/>
          <c:w val="0.84116666666666662"/>
          <c:h val="0.781458230731178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'airnet-stack1.prj'!$W$21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'airnet-stack1.prj'!$Z$22:$Z$32</c:f>
              <c:numCache>
                <c:formatCode>0.00000</c:formatCode>
                <c:ptCount val="11"/>
                <c:pt idx="0">
                  <c:v>-4.3224515812080355</c:v>
                </c:pt>
                <c:pt idx="1">
                  <c:v>-3.4579612649664284</c:v>
                </c:pt>
                <c:pt idx="2">
                  <c:v>-2.5934709487248213</c:v>
                </c:pt>
                <c:pt idx="3">
                  <c:v>-1.7289806324832142</c:v>
                </c:pt>
                <c:pt idx="4">
                  <c:v>-0.8644903162416071</c:v>
                </c:pt>
                <c:pt idx="5">
                  <c:v>0</c:v>
                </c:pt>
                <c:pt idx="6">
                  <c:v>0.8644903162416071</c:v>
                </c:pt>
                <c:pt idx="7">
                  <c:v>1.7289806324832142</c:v>
                </c:pt>
                <c:pt idx="8">
                  <c:v>2.5934709487248213</c:v>
                </c:pt>
                <c:pt idx="9">
                  <c:v>3.4579612649664284</c:v>
                </c:pt>
                <c:pt idx="10">
                  <c:v>4.3224515812080355</c:v>
                </c:pt>
              </c:numCache>
            </c:numRef>
          </c:xVal>
          <c:yVal>
            <c:numRef>
              <c:f>'airnet-stack1.prj'!$W$22:$W$32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E-4D89-8412-364D7D34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49968"/>
        <c:axId val="808748888"/>
      </c:scatterChart>
      <c:valAx>
        <c:axId val="8087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(Pambt-Pshaft)</a:t>
                </a:r>
                <a:r>
                  <a:rPr lang="en-US" baseline="0"/>
                  <a:t> [Pa]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753477690288712"/>
              <c:y val="0.9296063248737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48888"/>
        <c:crosses val="autoZero"/>
        <c:crossBetween val="midCat"/>
      </c:valAx>
      <c:valAx>
        <c:axId val="8087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(from NL)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5593713329792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233859</xdr:colOff>
      <xdr:row>0</xdr:row>
      <xdr:rowOff>124830</xdr:rowOff>
    </xdr:from>
    <xdr:ext cx="3000437" cy="5791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39849E-82E1-0CA1-F3AC-59DD50DC9792}"/>
                </a:ext>
              </a:extLst>
            </xdr:cNvPr>
            <xdr:cNvSpPr txBox="1"/>
          </xdr:nvSpPr>
          <xdr:spPr>
            <a:xfrm>
              <a:off x="413776" y="124830"/>
              <a:ext cx="3000437" cy="579198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∆</m:t>
                  </m:r>
                  <m:sSub>
                    <m:sSubPr>
                      <m:ctrlPr>
                        <a:rPr lang="en-US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𝑠𝑡𝑎𝑐𝑘</m:t>
                      </m:r>
                    </m:sub>
                  </m:sSub>
                  <m:r>
                    <a:rPr lang="en-US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𝑔</m:t>
                      </m:r>
                      <m:sSub>
                        <m:sSub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𝑏𝑎𝑟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𝑎𝑖𝑟</m:t>
                          </m:r>
                        </m:sub>
                      </m:sSub>
                    </m:den>
                  </m:f>
                  <m:d>
                    <m:d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sz="16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𝑇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𝑎𝑚𝑏𝑡</m:t>
                              </m:r>
                            </m:sub>
                          </m:sSub>
                        </m:den>
                      </m:f>
                      <m:r>
                        <a:rPr lang="en-US" sz="16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sz="16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en-US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𝑇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𝑠𝑡𝑎𝑐𝑘</m:t>
                              </m:r>
                            </m:sub>
                          </m:sSub>
                        </m:den>
                      </m:f>
                    </m:e>
                  </m:d>
                </m:oMath>
              </a14:m>
              <a:r>
                <a:rPr lang="en-US" sz="1600"/>
                <a:t>h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439849E-82E1-0CA1-F3AC-59DD50DC9792}"/>
                </a:ext>
              </a:extLst>
            </xdr:cNvPr>
            <xdr:cNvSpPr txBox="1"/>
          </xdr:nvSpPr>
          <xdr:spPr>
            <a:xfrm>
              <a:off x="413776" y="124830"/>
              <a:ext cx="3000437" cy="579198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91440" tIns="91440" rIns="91440" bIns="9144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𝑃_𝑠𝑡𝑎𝑐𝑘</a:t>
              </a:r>
              <a:r>
                <a:rPr lang="en-US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𝑔𝑃_𝑏𝑎𝑟)/𝑅_𝑎𝑖𝑟  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1/𝑇_𝑎𝑚𝑏𝑡 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1/𝑇_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𝑠𝑡𝑎𝑐𝑘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/>
                <a:t>h</a:t>
              </a:r>
            </a:p>
          </xdr:txBody>
        </xdr:sp>
      </mc:Fallback>
    </mc:AlternateContent>
    <xdr:clientData/>
  </xdr:oneCellAnchor>
  <xdr:twoCellAnchor>
    <xdr:from>
      <xdr:col>29</xdr:col>
      <xdr:colOff>0</xdr:colOff>
      <xdr:row>33</xdr:row>
      <xdr:rowOff>0</xdr:rowOff>
    </xdr:from>
    <xdr:to>
      <xdr:col>36</xdr:col>
      <xdr:colOff>222250</xdr:colOff>
      <xdr:row>49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2EEF79-0FEA-4B98-A58A-19172CFA6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222250</xdr:colOff>
      <xdr:row>30</xdr:row>
      <xdr:rowOff>65617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6D9B59-A649-458C-A7A4-7FC20522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M51"/>
  <sheetViews>
    <sheetView tabSelected="1" zoomScale="90" zoomScaleNormal="90" workbookViewId="0">
      <selection activeCell="Q43" sqref="Q43"/>
    </sheetView>
  </sheetViews>
  <sheetFormatPr defaultRowHeight="15"/>
  <cols>
    <col min="1" max="1" width="2.7109375" customWidth="1"/>
    <col min="2" max="5" width="12.7109375" customWidth="1"/>
    <col min="6" max="6" width="2.7109375" customWidth="1"/>
    <col min="7" max="10" width="12.7109375" customWidth="1"/>
    <col min="13" max="13" width="2.7109375" customWidth="1"/>
    <col min="14" max="14" width="6.85546875" customWidth="1"/>
    <col min="15" max="15" width="7.42578125" bestFit="1" customWidth="1"/>
    <col min="16" max="16" width="11.28515625" bestFit="1" customWidth="1"/>
    <col min="17" max="17" width="12.28515625" bestFit="1" customWidth="1"/>
    <col min="18" max="18" width="14.85546875" bestFit="1" customWidth="1"/>
    <col min="19" max="19" width="9" bestFit="1" customWidth="1"/>
    <col min="20" max="20" width="9.7109375" bestFit="1" customWidth="1"/>
    <col min="21" max="21" width="7.85546875" bestFit="1" customWidth="1"/>
    <col min="22" max="22" width="2.5703125" customWidth="1"/>
    <col min="23" max="23" width="5.7109375" bestFit="1" customWidth="1"/>
    <col min="24" max="24" width="13" bestFit="1" customWidth="1"/>
    <col min="25" max="25" width="7.140625" bestFit="1" customWidth="1"/>
    <col min="26" max="26" width="10.7109375" bestFit="1" customWidth="1"/>
    <col min="27" max="27" width="12.28515625" bestFit="1" customWidth="1"/>
    <col min="28" max="28" width="11.28515625" bestFit="1" customWidth="1"/>
    <col min="36" max="36" width="10" bestFit="1" customWidth="1"/>
  </cols>
  <sheetData>
    <row r="5" spans="2:36" ht="18.75">
      <c r="B5" s="100" t="s">
        <v>64</v>
      </c>
      <c r="C5" s="100"/>
      <c r="D5" s="100"/>
      <c r="E5" s="100"/>
      <c r="F5" s="46"/>
      <c r="G5" s="100" t="s">
        <v>43</v>
      </c>
      <c r="H5" s="100"/>
      <c r="I5" s="100"/>
      <c r="J5" s="100"/>
      <c r="K5" s="100"/>
      <c r="L5" s="100"/>
      <c r="M5" s="55"/>
      <c r="N5" s="101" t="s">
        <v>86</v>
      </c>
      <c r="O5" s="101"/>
      <c r="P5" s="101"/>
      <c r="Q5" s="101"/>
      <c r="R5" s="101"/>
      <c r="S5" s="101"/>
      <c r="T5" s="101"/>
      <c r="U5" s="101"/>
      <c r="V5" s="46"/>
      <c r="W5" s="101" t="s">
        <v>87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</row>
    <row r="6" spans="2:36" ht="18">
      <c r="B6" s="5" t="s">
        <v>33</v>
      </c>
      <c r="C6" s="5">
        <v>101325</v>
      </c>
      <c r="D6" s="11" t="s">
        <v>1</v>
      </c>
      <c r="E6" s="5"/>
      <c r="F6" s="55"/>
      <c r="G6" s="5" t="s">
        <v>13</v>
      </c>
      <c r="H6" s="5">
        <v>101325</v>
      </c>
      <c r="I6" s="11" t="s">
        <v>1</v>
      </c>
      <c r="J6" s="5"/>
      <c r="K6" s="5"/>
      <c r="L6" s="5"/>
      <c r="M6" s="55"/>
      <c r="V6" s="46"/>
    </row>
    <row r="7" spans="2:36" ht="18">
      <c r="B7" s="5" t="s">
        <v>49</v>
      </c>
      <c r="C7" s="79">
        <v>20</v>
      </c>
      <c r="D7" s="11" t="s">
        <v>10</v>
      </c>
      <c r="E7" s="5"/>
      <c r="F7" s="55"/>
      <c r="G7" s="5" t="s">
        <v>11</v>
      </c>
      <c r="H7" s="58">
        <f>20</f>
        <v>20</v>
      </c>
      <c r="I7" s="11" t="s">
        <v>10</v>
      </c>
      <c r="J7" s="5"/>
      <c r="K7" s="5"/>
      <c r="L7" s="5"/>
      <c r="M7" s="55"/>
      <c r="N7" t="s">
        <v>65</v>
      </c>
      <c r="V7" s="46"/>
      <c r="W7" s="1" t="s">
        <v>0</v>
      </c>
      <c r="X7" s="2">
        <v>101325</v>
      </c>
      <c r="Y7" s="3" t="s">
        <v>1</v>
      </c>
      <c r="AA7" s="16" t="s">
        <v>14</v>
      </c>
    </row>
    <row r="8" spans="2:36">
      <c r="B8" s="5"/>
      <c r="C8" s="5">
        <f>C7+273.15</f>
        <v>293.14999999999998</v>
      </c>
      <c r="D8" s="11" t="s">
        <v>3</v>
      </c>
      <c r="E8" s="5"/>
      <c r="F8" s="55"/>
      <c r="G8" s="5"/>
      <c r="H8" s="5">
        <f>H7+273.15</f>
        <v>293.14999999999998</v>
      </c>
      <c r="I8" s="11" t="s">
        <v>3</v>
      </c>
      <c r="J8" s="5"/>
      <c r="K8" s="5"/>
      <c r="L8" s="5"/>
      <c r="M8" s="55"/>
      <c r="V8" s="46"/>
      <c r="W8" s="4" t="s">
        <v>2</v>
      </c>
      <c r="X8" s="5">
        <v>20</v>
      </c>
      <c r="Y8" s="6" t="s">
        <v>10</v>
      </c>
      <c r="AA8" s="16" t="s">
        <v>20</v>
      </c>
    </row>
    <row r="9" spans="2:36" ht="16.5">
      <c r="B9" s="15" t="s">
        <v>50</v>
      </c>
      <c r="C9" s="8">
        <f>1.2041*(C8/293.15)</f>
        <v>1.2040999999999999</v>
      </c>
      <c r="D9" s="12" t="s">
        <v>5</v>
      </c>
      <c r="E9" s="5"/>
      <c r="F9" s="55"/>
      <c r="G9" s="15" t="s">
        <v>12</v>
      </c>
      <c r="H9" s="24">
        <v>1.2041500000000001</v>
      </c>
      <c r="I9" s="12" t="s">
        <v>5</v>
      </c>
      <c r="J9" s="5"/>
      <c r="K9" s="5"/>
      <c r="L9" s="5"/>
      <c r="M9" s="55"/>
      <c r="N9" s="53" t="s">
        <v>66</v>
      </c>
      <c r="O9" s="53"/>
      <c r="V9" s="46"/>
      <c r="W9" s="4"/>
      <c r="X9" s="5">
        <f>X8+273.15</f>
        <v>293.14999999999998</v>
      </c>
      <c r="Y9" s="6" t="s">
        <v>3</v>
      </c>
      <c r="AA9" t="s">
        <v>15</v>
      </c>
    </row>
    <row r="10" spans="2:36" ht="16.5">
      <c r="B10" s="12" t="s">
        <v>39</v>
      </c>
      <c r="C10" s="54">
        <v>287.05500000000001</v>
      </c>
      <c r="D10" s="12" t="s">
        <v>7</v>
      </c>
      <c r="E10" s="5"/>
      <c r="F10" s="55"/>
      <c r="G10" s="12" t="s">
        <v>39</v>
      </c>
      <c r="H10" s="29">
        <f>H6/(H9*H8)</f>
        <v>287.04244713310919</v>
      </c>
      <c r="I10" s="12" t="s">
        <v>7</v>
      </c>
      <c r="J10" s="5"/>
      <c r="K10" s="5"/>
      <c r="L10" s="5"/>
      <c r="M10" s="55"/>
      <c r="N10" s="53" t="s">
        <v>67</v>
      </c>
      <c r="O10" s="53"/>
      <c r="V10" s="46"/>
      <c r="W10" s="7" t="s">
        <v>4</v>
      </c>
      <c r="X10" s="8">
        <f>X7/(287.055*X9)</f>
        <v>1.2040973427229398</v>
      </c>
      <c r="Y10" s="9" t="s">
        <v>5</v>
      </c>
      <c r="AA10" t="s">
        <v>17</v>
      </c>
    </row>
    <row r="11" spans="2:36" ht="15.75">
      <c r="B11" s="12" t="s">
        <v>41</v>
      </c>
      <c r="C11" s="74">
        <f>1/C10</f>
        <v>3.483652958492275E-3</v>
      </c>
      <c r="D11" s="5"/>
      <c r="E11" s="5"/>
      <c r="F11" s="55"/>
      <c r="G11" s="12" t="s">
        <v>41</v>
      </c>
      <c r="H11" s="59">
        <f>1/H10</f>
        <v>3.4838053047125585E-3</v>
      </c>
      <c r="I11" s="5"/>
      <c r="J11" s="5"/>
      <c r="K11" s="5"/>
      <c r="L11" s="5"/>
      <c r="M11" s="55"/>
      <c r="N11" s="53" t="s">
        <v>68</v>
      </c>
      <c r="O11" s="53"/>
      <c r="V11" s="46"/>
      <c r="W11" s="13" t="s">
        <v>6</v>
      </c>
      <c r="X11" s="5">
        <f>X7/(X10*X9)</f>
        <v>287.05500000000001</v>
      </c>
      <c r="Y11" s="9" t="s">
        <v>7</v>
      </c>
      <c r="AA11" t="s">
        <v>18</v>
      </c>
    </row>
    <row r="12" spans="2:36" ht="18">
      <c r="B12" s="5" t="s">
        <v>52</v>
      </c>
      <c r="C12" s="79">
        <v>0</v>
      </c>
      <c r="D12" s="11" t="s">
        <v>10</v>
      </c>
      <c r="E12" s="5"/>
      <c r="F12" s="55"/>
      <c r="G12" s="5" t="s">
        <v>36</v>
      </c>
      <c r="H12" s="58">
        <v>0</v>
      </c>
      <c r="I12" s="11" t="s">
        <v>10</v>
      </c>
      <c r="J12" s="5"/>
      <c r="K12" s="5"/>
      <c r="L12" s="5"/>
      <c r="M12" s="55"/>
      <c r="N12" s="53" t="s">
        <v>69</v>
      </c>
      <c r="O12" s="53"/>
      <c r="V12" s="46"/>
      <c r="W12" s="17" t="s">
        <v>8</v>
      </c>
      <c r="X12" s="5">
        <f>0.0000037143+0.000000049286*X9</f>
        <v>1.8162490899999998E-5</v>
      </c>
      <c r="Y12" s="9" t="s">
        <v>9</v>
      </c>
      <c r="AA12" t="s">
        <v>16</v>
      </c>
    </row>
    <row r="13" spans="2:36" ht="15.75">
      <c r="B13" s="5"/>
      <c r="C13" s="5">
        <f>C12+273.15</f>
        <v>273.14999999999998</v>
      </c>
      <c r="D13" s="11" t="s">
        <v>3</v>
      </c>
      <c r="E13" s="5"/>
      <c r="F13" s="55"/>
      <c r="G13" s="5"/>
      <c r="H13" s="5">
        <f>H12+273.15</f>
        <v>273.14999999999998</v>
      </c>
      <c r="I13" s="11" t="s">
        <v>3</v>
      </c>
      <c r="J13" s="5"/>
      <c r="K13" s="5"/>
      <c r="L13" s="5"/>
      <c r="M13" s="55"/>
      <c r="N13" s="53" t="s">
        <v>70</v>
      </c>
      <c r="O13" s="53"/>
      <c r="V13" s="46"/>
      <c r="W13" s="14" t="s">
        <v>26</v>
      </c>
      <c r="X13" s="10">
        <f>X12/X10</f>
        <v>1.5083905806923742E-5</v>
      </c>
      <c r="Y13" s="18" t="s">
        <v>27</v>
      </c>
      <c r="AA13" t="s">
        <v>19</v>
      </c>
    </row>
    <row r="14" spans="2:36" ht="16.5">
      <c r="B14" s="15" t="s">
        <v>51</v>
      </c>
      <c r="C14" s="52">
        <f>C6/(C10*C13)</f>
        <v>1.2922611606049048</v>
      </c>
      <c r="D14" s="12" t="s">
        <v>5</v>
      </c>
      <c r="E14" s="5"/>
      <c r="F14" s="55"/>
      <c r="G14" s="15" t="s">
        <v>51</v>
      </c>
      <c r="H14" s="8">
        <f>H6/(287.055*H13)</f>
        <v>1.2922611606049048</v>
      </c>
      <c r="I14" s="12" t="s">
        <v>5</v>
      </c>
      <c r="J14" s="5"/>
      <c r="K14" s="5"/>
      <c r="L14" s="5"/>
      <c r="M14" s="55"/>
      <c r="V14" s="46"/>
    </row>
    <row r="15" spans="2:36">
      <c r="B15" s="5"/>
      <c r="C15" s="8"/>
      <c r="D15" s="11"/>
      <c r="E15" s="5"/>
      <c r="F15" s="55"/>
      <c r="G15" s="5"/>
      <c r="H15" s="5"/>
      <c r="I15" s="11"/>
      <c r="J15" s="5"/>
      <c r="K15" s="5"/>
      <c r="L15" s="5"/>
      <c r="M15" s="55"/>
      <c r="N15" t="s">
        <v>73</v>
      </c>
      <c r="O15">
        <v>0</v>
      </c>
      <c r="P15" t="s">
        <v>74</v>
      </c>
      <c r="Q15">
        <v>0</v>
      </c>
      <c r="V15" s="46"/>
      <c r="W15" s="41"/>
      <c r="X15" s="42"/>
      <c r="Y15" s="41"/>
      <c r="Z15" s="41"/>
      <c r="AA15" s="41"/>
      <c r="AB15" s="41"/>
      <c r="AC15" s="41"/>
    </row>
    <row r="16" spans="2:36">
      <c r="B16" s="5" t="s">
        <v>37</v>
      </c>
      <c r="C16" s="5">
        <v>9.8055000000000003</v>
      </c>
      <c r="D16" s="11" t="s">
        <v>38</v>
      </c>
      <c r="E16" s="5"/>
      <c r="F16" s="55"/>
      <c r="G16" s="5" t="s">
        <v>37</v>
      </c>
      <c r="H16" s="60">
        <v>9.8000000000000007</v>
      </c>
      <c r="I16" s="11" t="s">
        <v>38</v>
      </c>
      <c r="J16" s="5"/>
      <c r="K16" s="5"/>
      <c r="L16" s="5"/>
      <c r="M16" s="55"/>
      <c r="N16" t="s">
        <v>71</v>
      </c>
      <c r="V16" s="46"/>
      <c r="W16" t="s">
        <v>58</v>
      </c>
      <c r="X16" s="40">
        <v>0</v>
      </c>
      <c r="Y16" t="s">
        <v>10</v>
      </c>
      <c r="Z16" s="41"/>
      <c r="AA16" s="41"/>
      <c r="AB16" s="41"/>
      <c r="AC16" s="41"/>
    </row>
    <row r="17" spans="2:39">
      <c r="B17" s="5" t="s">
        <v>40</v>
      </c>
      <c r="C17" s="5">
        <v>5</v>
      </c>
      <c r="D17" s="11" t="s">
        <v>8</v>
      </c>
      <c r="E17" s="5"/>
      <c r="F17" s="55"/>
      <c r="G17" s="5" t="s">
        <v>40</v>
      </c>
      <c r="H17" s="5">
        <v>5</v>
      </c>
      <c r="I17" s="11" t="s">
        <v>8</v>
      </c>
      <c r="J17" s="5"/>
      <c r="K17" s="5"/>
      <c r="L17" s="5"/>
      <c r="M17" s="55"/>
      <c r="O17" t="s">
        <v>63</v>
      </c>
      <c r="P17" t="s">
        <v>75</v>
      </c>
      <c r="Q17" t="s">
        <v>76</v>
      </c>
      <c r="R17" t="s">
        <v>77</v>
      </c>
      <c r="V17" s="46"/>
      <c r="W17" t="s">
        <v>59</v>
      </c>
      <c r="X17" s="45">
        <f>$X$7/($X$11*(X16+273.15))</f>
        <v>1.2922611606049048</v>
      </c>
      <c r="Y17" s="28" t="s">
        <v>5</v>
      </c>
      <c r="Z17" s="41"/>
      <c r="AA17" s="41"/>
      <c r="AB17" s="41"/>
      <c r="AC17" s="41"/>
    </row>
    <row r="18" spans="2:39">
      <c r="B18" s="30" t="s">
        <v>44</v>
      </c>
      <c r="C18" s="61">
        <f>(C16*C6/C10)*(1/C13-1/C8)*C17</f>
        <v>4.3224515812080462</v>
      </c>
      <c r="D18" s="31" t="s">
        <v>1</v>
      </c>
      <c r="E18" s="5"/>
      <c r="F18" s="55"/>
      <c r="G18" s="30" t="s">
        <v>44</v>
      </c>
      <c r="H18" s="61">
        <f>(H16*H6/H10)*(1/H13-1/H8)*H17</f>
        <v>4.3202159985356028</v>
      </c>
      <c r="I18" s="31" t="s">
        <v>1</v>
      </c>
      <c r="J18" s="5"/>
      <c r="K18" s="5"/>
      <c r="L18" s="5"/>
      <c r="M18" s="55"/>
      <c r="O18">
        <v>1</v>
      </c>
      <c r="P18" t="s">
        <v>62</v>
      </c>
      <c r="Q18" s="34">
        <v>0</v>
      </c>
      <c r="R18">
        <v>1.29226</v>
      </c>
      <c r="V18" s="46"/>
      <c r="W18" t="s">
        <v>60</v>
      </c>
      <c r="X18" s="40">
        <v>20</v>
      </c>
      <c r="Y18" t="s">
        <v>10</v>
      </c>
    </row>
    <row r="19" spans="2:39">
      <c r="B19" s="5"/>
      <c r="C19" s="80">
        <f>C18*2</f>
        <v>8.6449031624160924</v>
      </c>
      <c r="D19" s="5"/>
      <c r="E19" s="5"/>
      <c r="F19" s="55"/>
      <c r="G19" s="5"/>
      <c r="H19" s="62">
        <f>H18*2</f>
        <v>8.6404319970712056</v>
      </c>
      <c r="I19" s="5"/>
      <c r="J19" s="5"/>
      <c r="K19" s="5"/>
      <c r="L19" s="5"/>
      <c r="M19" s="55"/>
      <c r="O19">
        <v>2</v>
      </c>
      <c r="P19" t="s">
        <v>22</v>
      </c>
      <c r="Q19" s="56">
        <v>-4.1698000000000004</v>
      </c>
      <c r="R19">
        <v>1.2040999999999999</v>
      </c>
      <c r="V19" s="82"/>
      <c r="W19" t="s">
        <v>61</v>
      </c>
      <c r="X19" s="45">
        <f>$X$7/($X$11*(X18+273.15))</f>
        <v>1.2040973427229398</v>
      </c>
      <c r="Y19" t="s">
        <v>5</v>
      </c>
    </row>
    <row r="20" spans="2:39">
      <c r="B20" s="5"/>
      <c r="C20" s="63" t="s">
        <v>45</v>
      </c>
      <c r="D20" s="63" t="s">
        <v>46</v>
      </c>
      <c r="E20" s="12" t="s">
        <v>8</v>
      </c>
      <c r="F20" s="55"/>
      <c r="G20" s="5"/>
      <c r="H20" s="63" t="s">
        <v>31</v>
      </c>
      <c r="I20" s="63" t="s">
        <v>32</v>
      </c>
      <c r="J20" s="12" t="s">
        <v>8</v>
      </c>
      <c r="K20" s="5"/>
      <c r="L20" s="5"/>
      <c r="M20" s="55"/>
      <c r="V20" s="82"/>
    </row>
    <row r="21" spans="2:39" ht="15.75">
      <c r="B21" s="75" t="s">
        <v>8</v>
      </c>
      <c r="C21" s="5">
        <f>0.0000037143+0.000000049286*C13</f>
        <v>1.71767709E-5</v>
      </c>
      <c r="D21" s="5">
        <f>0.0000037143+0.000000049286*C8</f>
        <v>1.8162490899999998E-5</v>
      </c>
      <c r="E21" s="76" t="s">
        <v>9</v>
      </c>
      <c r="F21" s="55"/>
      <c r="G21" s="5"/>
      <c r="H21" s="63"/>
      <c r="I21" s="63"/>
      <c r="J21" s="12"/>
      <c r="K21" s="5"/>
      <c r="L21" s="5"/>
      <c r="M21" s="55"/>
      <c r="N21" t="s">
        <v>72</v>
      </c>
      <c r="V21" s="46"/>
      <c r="W21" s="43" t="s">
        <v>56</v>
      </c>
      <c r="X21" s="43" t="s">
        <v>88</v>
      </c>
      <c r="Y21" s="43" t="s">
        <v>89</v>
      </c>
      <c r="Z21" s="43" t="s">
        <v>57</v>
      </c>
    </row>
    <row r="22" spans="2:39">
      <c r="B22" s="5" t="s">
        <v>24</v>
      </c>
      <c r="C22" s="52">
        <f>SQRT(4*C23/PI())</f>
        <v>0.11283791670955126</v>
      </c>
      <c r="D22" s="52">
        <f>SQRT(4*D23/PI())</f>
        <v>0.11283791670955126</v>
      </c>
      <c r="E22" s="12" t="s">
        <v>25</v>
      </c>
      <c r="F22" s="55"/>
      <c r="G22" s="5" t="s">
        <v>24</v>
      </c>
      <c r="H22" s="52">
        <f>SQRT(4*H23/PI())</f>
        <v>0.11283791670955126</v>
      </c>
      <c r="I22" s="52">
        <f>SQRT(4*I23/PI())</f>
        <v>0.11283791670955126</v>
      </c>
      <c r="J22" s="12" t="s">
        <v>25</v>
      </c>
      <c r="K22" s="5"/>
      <c r="L22" s="5"/>
      <c r="M22" s="55"/>
      <c r="O22" s="39" t="s">
        <v>63</v>
      </c>
      <c r="P22" s="39" t="s">
        <v>78</v>
      </c>
      <c r="Q22" s="39" t="s">
        <v>79</v>
      </c>
      <c r="R22" s="39" t="s">
        <v>80</v>
      </c>
      <c r="S22" s="39" t="s">
        <v>81</v>
      </c>
      <c r="T22" s="39" t="s">
        <v>82</v>
      </c>
      <c r="U22" s="39" t="s">
        <v>83</v>
      </c>
      <c r="V22" s="46"/>
      <c r="W22">
        <v>5</v>
      </c>
      <c r="X22" s="44">
        <f>-$X$17*9.8055*$W22</f>
        <v>-63.356334051556971</v>
      </c>
      <c r="Y22" s="44">
        <f>-$X$19*9.8055*$W22</f>
        <v>-59.033882470348935</v>
      </c>
      <c r="Z22" s="98">
        <f>X22-Y22</f>
        <v>-4.3224515812080355</v>
      </c>
      <c r="AA22" s="28"/>
    </row>
    <row r="23" spans="2:39">
      <c r="B23" s="5" t="s">
        <v>22</v>
      </c>
      <c r="C23" s="5">
        <v>0.01</v>
      </c>
      <c r="D23" s="5">
        <v>0.01</v>
      </c>
      <c r="E23" s="5"/>
      <c r="F23" s="55"/>
      <c r="G23" s="5" t="s">
        <v>22</v>
      </c>
      <c r="H23" s="5">
        <v>0.01</v>
      </c>
      <c r="I23" s="5">
        <v>0.01</v>
      </c>
      <c r="J23" s="5"/>
      <c r="K23" s="5"/>
      <c r="L23" s="5"/>
      <c r="M23" s="55"/>
      <c r="O23" s="39">
        <v>1</v>
      </c>
      <c r="P23" s="92">
        <v>1.96969E-2</v>
      </c>
      <c r="Q23" s="94">
        <v>4.1697899999999999</v>
      </c>
      <c r="R23" s="73">
        <v>1.29226</v>
      </c>
      <c r="S23" s="73">
        <v>0</v>
      </c>
      <c r="T23" s="73">
        <v>0</v>
      </c>
      <c r="U23" s="39" t="s">
        <v>84</v>
      </c>
      <c r="V23" s="46"/>
      <c r="W23">
        <f>W22-1</f>
        <v>4</v>
      </c>
      <c r="X23" s="44">
        <f t="shared" ref="X23:X32" si="0">-$X$17*9.8055*$W23</f>
        <v>-50.685067241245576</v>
      </c>
      <c r="Y23" s="44">
        <f t="shared" ref="Y23:Y32" si="1">-$X$19*9.8055*$W23</f>
        <v>-47.227105976279148</v>
      </c>
      <c r="Z23" s="19">
        <f t="shared" ref="Z23:Z32" si="2">X23-Y23</f>
        <v>-3.4579612649664284</v>
      </c>
    </row>
    <row r="24" spans="2:39">
      <c r="B24" s="5" t="s">
        <v>23</v>
      </c>
      <c r="C24" s="5">
        <v>0.6</v>
      </c>
      <c r="D24" s="5">
        <v>0.6</v>
      </c>
      <c r="E24" s="5" t="s">
        <v>29</v>
      </c>
      <c r="F24" s="55"/>
      <c r="G24" s="5" t="s">
        <v>23</v>
      </c>
      <c r="H24" s="5">
        <v>0.6</v>
      </c>
      <c r="I24" s="5">
        <v>0.6</v>
      </c>
      <c r="J24" s="5" t="s">
        <v>29</v>
      </c>
      <c r="K24" s="5"/>
      <c r="L24" s="5"/>
      <c r="M24" s="55"/>
      <c r="O24" s="39">
        <v>2</v>
      </c>
      <c r="P24" s="93">
        <v>-1.96969E-2</v>
      </c>
      <c r="Q24" s="94">
        <v>-4.4751099999999999</v>
      </c>
      <c r="R24" s="73">
        <v>1.2040999999999999</v>
      </c>
      <c r="S24" s="73">
        <v>0</v>
      </c>
      <c r="T24" s="73">
        <v>-8.6449999999999996</v>
      </c>
      <c r="U24" s="39" t="s">
        <v>85</v>
      </c>
      <c r="V24" s="46"/>
      <c r="W24">
        <f t="shared" ref="W24:W32" si="3">W23-1</f>
        <v>3</v>
      </c>
      <c r="X24" s="44">
        <f t="shared" si="0"/>
        <v>-38.013800430934182</v>
      </c>
      <c r="Y24" s="44">
        <f t="shared" si="1"/>
        <v>-35.420329482209361</v>
      </c>
      <c r="Z24" s="19">
        <f t="shared" si="2"/>
        <v>-2.5934709487248213</v>
      </c>
    </row>
    <row r="25" spans="2:39">
      <c r="B25" s="5" t="s">
        <v>21</v>
      </c>
      <c r="C25" s="77">
        <f>C21*C23*100/C22</f>
        <v>1.5222516863913402E-4</v>
      </c>
      <c r="D25" s="77">
        <f>D21*D23*100/D22</f>
        <v>1.6096088468870693E-4</v>
      </c>
      <c r="E25" s="5"/>
      <c r="F25" s="55"/>
      <c r="G25" s="5" t="s">
        <v>21</v>
      </c>
      <c r="H25" s="5">
        <f>$C$12*H23*$C$13/H22</f>
        <v>0</v>
      </c>
      <c r="I25" s="5">
        <f>$C$12*I23*$C$13/I22</f>
        <v>0</v>
      </c>
      <c r="J25" s="5"/>
      <c r="K25" s="5"/>
      <c r="L25" s="5"/>
      <c r="M25" s="55"/>
      <c r="Q25" s="103">
        <f>ABS(Q23)+ABS(Q24)</f>
        <v>8.6448999999999998</v>
      </c>
      <c r="V25" s="46"/>
      <c r="W25">
        <f t="shared" si="3"/>
        <v>2</v>
      </c>
      <c r="X25" s="44">
        <f t="shared" si="0"/>
        <v>-25.342533620622788</v>
      </c>
      <c r="Y25" s="44">
        <f t="shared" si="1"/>
        <v>-23.613552988139574</v>
      </c>
      <c r="Z25" s="19">
        <f t="shared" si="2"/>
        <v>-1.7289806324832142</v>
      </c>
    </row>
    <row r="26" spans="2:39">
      <c r="B26" s="5" t="s">
        <v>28</v>
      </c>
      <c r="C26" s="64">
        <f>C24*C23*SQRT(2)</f>
        <v>8.4852813742385715E-3</v>
      </c>
      <c r="D26" s="64">
        <f>D24*D23*SQRT(2)</f>
        <v>8.4852813742385715E-3</v>
      </c>
      <c r="E26" s="5"/>
      <c r="F26" s="55"/>
      <c r="G26" s="5" t="s">
        <v>28</v>
      </c>
      <c r="H26" s="64">
        <f>H24*H23*SQRT(2)</f>
        <v>8.4852813742385715E-3</v>
      </c>
      <c r="I26" s="64">
        <f>I24*I23*SQRT(2)</f>
        <v>8.4852813742385715E-3</v>
      </c>
      <c r="J26" s="5"/>
      <c r="K26" s="5"/>
      <c r="L26" s="5"/>
      <c r="M26" s="55"/>
      <c r="V26" s="46"/>
      <c r="W26">
        <f t="shared" si="3"/>
        <v>1</v>
      </c>
      <c r="X26" s="44">
        <f t="shared" si="0"/>
        <v>-12.671266810311394</v>
      </c>
      <c r="Y26" s="44">
        <f t="shared" si="1"/>
        <v>-11.806776494069787</v>
      </c>
      <c r="Z26" s="19">
        <f t="shared" si="2"/>
        <v>-0.8644903162416071</v>
      </c>
    </row>
    <row r="27" spans="2:39">
      <c r="B27" s="5"/>
      <c r="C27" s="64"/>
      <c r="D27" s="5"/>
      <c r="E27" s="5"/>
      <c r="F27" s="55"/>
      <c r="G27" s="5"/>
      <c r="H27" s="64"/>
      <c r="I27" s="5"/>
      <c r="J27" s="5"/>
      <c r="K27" s="5"/>
      <c r="L27" s="5"/>
      <c r="M27" s="55"/>
      <c r="N27" s="57" t="s">
        <v>97</v>
      </c>
      <c r="O27" s="57"/>
      <c r="P27" s="57"/>
      <c r="Q27" s="57"/>
      <c r="R27" s="57"/>
      <c r="S27" s="57"/>
      <c r="T27" s="57"/>
      <c r="U27" s="57"/>
      <c r="V27" s="46"/>
      <c r="W27">
        <f t="shared" si="3"/>
        <v>0</v>
      </c>
      <c r="X27" s="44">
        <f t="shared" si="0"/>
        <v>0</v>
      </c>
      <c r="Y27" s="44">
        <f t="shared" si="1"/>
        <v>0</v>
      </c>
      <c r="Z27" s="19">
        <f t="shared" si="2"/>
        <v>0</v>
      </c>
      <c r="AA27" s="28"/>
    </row>
    <row r="28" spans="2:39">
      <c r="B28" s="5"/>
      <c r="C28" s="99" t="s">
        <v>98</v>
      </c>
      <c r="D28" s="5"/>
      <c r="E28" s="5"/>
      <c r="F28" s="55"/>
      <c r="G28" s="5"/>
      <c r="H28" s="64"/>
      <c r="I28" s="5"/>
      <c r="J28" s="5"/>
      <c r="K28" s="5"/>
      <c r="L28" s="5"/>
      <c r="M28" s="55"/>
      <c r="N28" t="s">
        <v>73</v>
      </c>
      <c r="O28">
        <v>0</v>
      </c>
      <c r="P28" t="s">
        <v>74</v>
      </c>
      <c r="Q28">
        <v>0</v>
      </c>
      <c r="V28" s="46"/>
      <c r="W28">
        <f t="shared" si="3"/>
        <v>-1</v>
      </c>
      <c r="X28" s="44">
        <f t="shared" si="0"/>
        <v>12.671266810311394</v>
      </c>
      <c r="Y28" s="44">
        <f t="shared" si="1"/>
        <v>11.806776494069787</v>
      </c>
      <c r="Z28" s="19">
        <f t="shared" si="2"/>
        <v>0.8644903162416071</v>
      </c>
    </row>
    <row r="29" spans="2:39">
      <c r="B29" s="21" t="s">
        <v>47</v>
      </c>
      <c r="C29" s="23">
        <f>C26*SQRT(C14)</f>
        <v>9.6458697670844164E-3</v>
      </c>
      <c r="D29" s="22" t="s">
        <v>30</v>
      </c>
      <c r="E29" s="5"/>
      <c r="F29" s="55"/>
      <c r="G29" s="5" t="s">
        <v>34</v>
      </c>
      <c r="H29" s="64">
        <f>H26*SQRT(H14)</f>
        <v>9.6458697670844164E-3</v>
      </c>
      <c r="I29" s="5" t="s">
        <v>30</v>
      </c>
      <c r="J29" s="5" t="s">
        <v>42</v>
      </c>
      <c r="K29" s="5"/>
      <c r="L29" s="5"/>
      <c r="M29" s="55"/>
      <c r="N29" t="s">
        <v>71</v>
      </c>
      <c r="V29" s="83"/>
      <c r="W29">
        <f t="shared" si="3"/>
        <v>-2</v>
      </c>
      <c r="X29" s="44">
        <f t="shared" si="0"/>
        <v>25.342533620622788</v>
      </c>
      <c r="Y29" s="44">
        <f t="shared" si="1"/>
        <v>23.613552988139574</v>
      </c>
      <c r="Z29" s="19">
        <f t="shared" si="2"/>
        <v>1.7289806324832142</v>
      </c>
    </row>
    <row r="30" spans="2:39">
      <c r="B30" s="21" t="s">
        <v>48</v>
      </c>
      <c r="C30" s="23">
        <f>D26*SQRT(C9)</f>
        <v>9.3110257222284599E-3</v>
      </c>
      <c r="D30" s="22" t="s">
        <v>30</v>
      </c>
      <c r="E30" s="5"/>
      <c r="F30" s="55"/>
      <c r="G30" s="5" t="s">
        <v>35</v>
      </c>
      <c r="H30" s="64">
        <f>I26*SQRT(H9)</f>
        <v>9.3112190394169132E-3</v>
      </c>
      <c r="I30" s="5" t="s">
        <v>30</v>
      </c>
      <c r="J30" s="5"/>
      <c r="K30" s="5"/>
      <c r="L30" s="5"/>
      <c r="M30" s="55"/>
      <c r="O30" t="s">
        <v>63</v>
      </c>
      <c r="P30" t="s">
        <v>75</v>
      </c>
      <c r="Q30" t="s">
        <v>76</v>
      </c>
      <c r="R30" t="s">
        <v>77</v>
      </c>
      <c r="V30" s="84"/>
      <c r="W30">
        <f t="shared" si="3"/>
        <v>-3</v>
      </c>
      <c r="X30" s="44">
        <f t="shared" si="0"/>
        <v>38.013800430934182</v>
      </c>
      <c r="Y30" s="44">
        <f t="shared" si="1"/>
        <v>35.420329482209361</v>
      </c>
      <c r="Z30" s="19">
        <f t="shared" si="2"/>
        <v>2.5934709487248213</v>
      </c>
      <c r="AE30" s="28"/>
    </row>
    <row r="31" spans="2:39">
      <c r="B31" s="65"/>
      <c r="C31" s="66"/>
      <c r="D31" s="66"/>
      <c r="E31" s="47"/>
      <c r="F31" s="55"/>
      <c r="G31" s="65"/>
      <c r="H31" s="66"/>
      <c r="I31" s="66"/>
      <c r="J31" s="5"/>
      <c r="K31" s="5"/>
      <c r="L31" s="5"/>
      <c r="M31" s="55"/>
      <c r="O31">
        <v>1</v>
      </c>
      <c r="P31" t="s">
        <v>62</v>
      </c>
      <c r="Q31" s="34">
        <v>0</v>
      </c>
      <c r="R31">
        <v>1.29226</v>
      </c>
      <c r="V31" s="83"/>
      <c r="W31">
        <f t="shared" si="3"/>
        <v>-4</v>
      </c>
      <c r="X31" s="44">
        <f t="shared" si="0"/>
        <v>50.685067241245576</v>
      </c>
      <c r="Y31" s="44">
        <f t="shared" si="1"/>
        <v>47.227105976279148</v>
      </c>
      <c r="Z31" s="19">
        <f t="shared" si="2"/>
        <v>3.4579612649664284</v>
      </c>
      <c r="AJ31" s="35"/>
      <c r="AK31" s="35"/>
      <c r="AL31" s="35"/>
      <c r="AM31" s="35"/>
    </row>
    <row r="32" spans="2:39">
      <c r="B32" s="48"/>
      <c r="C32" s="32" t="s">
        <v>44</v>
      </c>
      <c r="D32" s="48" t="s">
        <v>29</v>
      </c>
      <c r="E32" s="48"/>
      <c r="F32" s="55"/>
      <c r="G32" s="48"/>
      <c r="H32" s="32" t="s">
        <v>44</v>
      </c>
      <c r="I32" s="48" t="s">
        <v>29</v>
      </c>
      <c r="J32" s="5"/>
      <c r="K32" s="5"/>
      <c r="L32" s="5"/>
      <c r="M32" s="55"/>
      <c r="O32">
        <v>2</v>
      </c>
      <c r="P32" t="s">
        <v>22</v>
      </c>
      <c r="Q32" s="34">
        <v>-4.3224</v>
      </c>
      <c r="R32">
        <v>1.2040999999999999</v>
      </c>
      <c r="V32" s="83"/>
      <c r="W32">
        <f t="shared" si="3"/>
        <v>-5</v>
      </c>
      <c r="X32" s="44">
        <f t="shared" si="0"/>
        <v>63.356334051556971</v>
      </c>
      <c r="Y32" s="44">
        <f t="shared" si="1"/>
        <v>59.033882470348935</v>
      </c>
      <c r="Z32" s="96">
        <f t="shared" si="2"/>
        <v>4.3224515812080355</v>
      </c>
      <c r="AA32" s="28"/>
      <c r="AG32" s="35"/>
      <c r="AH32" s="35"/>
      <c r="AI32" s="35"/>
      <c r="AJ32" s="37"/>
      <c r="AK32" s="36"/>
      <c r="AL32" s="28"/>
      <c r="AM32" s="36"/>
    </row>
    <row r="33" spans="1:28">
      <c r="B33" s="67" t="s">
        <v>45</v>
      </c>
      <c r="C33" s="8">
        <f>C18</f>
        <v>4.3224515812080462</v>
      </c>
      <c r="D33" s="68">
        <f>C29*SQRT(C33)</f>
        <v>2.0054251753264446E-2</v>
      </c>
      <c r="E33" s="47"/>
      <c r="F33" s="55"/>
      <c r="G33" s="67" t="s">
        <v>45</v>
      </c>
      <c r="H33" s="8">
        <f>H18</f>
        <v>4.3202159985356028</v>
      </c>
      <c r="I33" s="68">
        <f>H29*SQRT(H33)</f>
        <v>2.0049065028171959E-2</v>
      </c>
      <c r="J33" s="5"/>
      <c r="K33" s="5"/>
      <c r="L33" s="5"/>
      <c r="M33" s="55"/>
      <c r="V33" s="83"/>
      <c r="Z33" s="103">
        <f>ABS(Z22)+ABS(Z32)</f>
        <v>8.644903162416071</v>
      </c>
    </row>
    <row r="34" spans="1:28">
      <c r="B34" s="67" t="s">
        <v>46</v>
      </c>
      <c r="C34" s="8">
        <f>C18</f>
        <v>4.3224515812080462</v>
      </c>
      <c r="D34" s="68">
        <f>C30*SQRT(C34)</f>
        <v>1.9358094026095334E-2</v>
      </c>
      <c r="E34" s="47"/>
      <c r="F34" s="55"/>
      <c r="G34" s="67" t="s">
        <v>46</v>
      </c>
      <c r="H34" s="8">
        <f>H18</f>
        <v>4.3202159985356028</v>
      </c>
      <c r="I34" s="68">
        <f>H30*SQRT(H34)</f>
        <v>1.9353489163813294E-2</v>
      </c>
      <c r="J34" s="5"/>
      <c r="K34" s="5"/>
      <c r="L34" s="5"/>
      <c r="M34" s="55"/>
      <c r="N34" t="s">
        <v>72</v>
      </c>
      <c r="V34" s="83"/>
      <c r="W34" s="102" t="s">
        <v>95</v>
      </c>
      <c r="X34" s="102"/>
      <c r="Y34" s="102"/>
      <c r="Z34" s="102"/>
      <c r="AA34" s="102"/>
      <c r="AB34" s="102"/>
    </row>
    <row r="35" spans="1:28">
      <c r="A35" s="20"/>
      <c r="B35" s="67"/>
      <c r="C35" s="69"/>
      <c r="D35" s="47"/>
      <c r="E35" s="47"/>
      <c r="F35" s="55"/>
      <c r="G35" s="67"/>
      <c r="H35" s="69"/>
      <c r="I35" s="47"/>
      <c r="J35" s="5"/>
      <c r="K35" s="5"/>
      <c r="L35" s="5"/>
      <c r="M35" s="55"/>
      <c r="O35" s="39" t="s">
        <v>63</v>
      </c>
      <c r="P35" s="39" t="s">
        <v>78</v>
      </c>
      <c r="Q35" s="39" t="s">
        <v>79</v>
      </c>
      <c r="R35" s="39" t="s">
        <v>80</v>
      </c>
      <c r="S35" s="39" t="s">
        <v>81</v>
      </c>
      <c r="T35" s="39" t="s">
        <v>82</v>
      </c>
      <c r="U35" s="39" t="s">
        <v>83</v>
      </c>
      <c r="V35" s="85"/>
      <c r="W35" s="39" t="s">
        <v>90</v>
      </c>
      <c r="X35" s="39" t="s">
        <v>91</v>
      </c>
      <c r="Y35" s="39" t="s">
        <v>92</v>
      </c>
      <c r="Z35" s="39" t="s">
        <v>96</v>
      </c>
      <c r="AA35" s="39" t="s">
        <v>94</v>
      </c>
      <c r="AB35" s="39" t="s">
        <v>93</v>
      </c>
    </row>
    <row r="36" spans="1:28">
      <c r="A36" s="20"/>
      <c r="B36" s="48"/>
      <c r="C36" s="32" t="s">
        <v>53</v>
      </c>
      <c r="D36" s="48" t="s">
        <v>29</v>
      </c>
      <c r="E36" s="47"/>
      <c r="F36" s="55"/>
      <c r="G36" s="48"/>
      <c r="H36" s="32" t="s">
        <v>54</v>
      </c>
      <c r="I36" s="48" t="s">
        <v>29</v>
      </c>
      <c r="J36" s="5"/>
      <c r="K36" s="5"/>
      <c r="L36" s="5"/>
      <c r="M36" s="55"/>
      <c r="O36" s="39">
        <v>1</v>
      </c>
      <c r="P36" s="90">
        <v>1.97092E-2</v>
      </c>
      <c r="Q36" s="95">
        <v>4.3224499999999999</v>
      </c>
      <c r="R36" s="73">
        <v>1.2481800000000001</v>
      </c>
      <c r="S36" s="73">
        <v>0</v>
      </c>
      <c r="T36" s="73">
        <v>0</v>
      </c>
      <c r="U36" s="39" t="s">
        <v>84</v>
      </c>
      <c r="V36" s="86"/>
      <c r="W36" s="88">
        <v>45658</v>
      </c>
      <c r="X36" s="89">
        <v>0</v>
      </c>
      <c r="Y36">
        <v>1</v>
      </c>
      <c r="Z36" s="56">
        <v>-4.3525999999999998</v>
      </c>
      <c r="AA36" s="56">
        <v>-1.9425000000000001E-2</v>
      </c>
      <c r="AB36" s="34">
        <v>0</v>
      </c>
    </row>
    <row r="37" spans="1:28">
      <c r="A37" s="20"/>
      <c r="B37" s="67" t="s">
        <v>45</v>
      </c>
      <c r="C37" s="81">
        <v>4.1697499999999996</v>
      </c>
      <c r="D37" s="78">
        <f>C29*SQRT(C37)</f>
        <v>1.9696832998203691E-2</v>
      </c>
      <c r="E37" s="49"/>
      <c r="F37" s="55"/>
      <c r="G37" s="67" t="s">
        <v>45</v>
      </c>
      <c r="H37" s="38">
        <v>4.167554</v>
      </c>
      <c r="I37" s="70">
        <f>H29*SQRT(H37)</f>
        <v>1.9691645643838414E-2</v>
      </c>
      <c r="J37" s="50"/>
      <c r="K37" s="5"/>
      <c r="L37" s="5"/>
      <c r="M37" s="55"/>
      <c r="O37" s="39">
        <v>2</v>
      </c>
      <c r="P37" s="91">
        <v>-1.97092E-2</v>
      </c>
      <c r="Q37" s="97">
        <v>-4.3224499999999999</v>
      </c>
      <c r="R37" s="73">
        <v>1.2481800000000001</v>
      </c>
      <c r="S37" s="73">
        <v>0</v>
      </c>
      <c r="T37" s="73">
        <v>-8.6449999999999996</v>
      </c>
      <c r="U37" s="39" t="s">
        <v>85</v>
      </c>
      <c r="V37" s="83"/>
      <c r="W37" s="88">
        <v>45658</v>
      </c>
      <c r="X37" s="89">
        <v>0</v>
      </c>
      <c r="Y37">
        <v>2</v>
      </c>
      <c r="Z37" s="56">
        <v>-3.4881000000000002</v>
      </c>
      <c r="AA37" s="56">
        <v>-1.7389999999999999E-2</v>
      </c>
      <c r="AB37" s="34">
        <v>0</v>
      </c>
    </row>
    <row r="38" spans="1:28">
      <c r="A38" s="20"/>
      <c r="B38" s="67" t="s">
        <v>46</v>
      </c>
      <c r="C38" s="81">
        <v>4.4751599999999998</v>
      </c>
      <c r="D38" s="78">
        <f>C30*SQRT(C38)</f>
        <v>1.9697078240998079E-2</v>
      </c>
      <c r="E38" s="50"/>
      <c r="F38" s="55"/>
      <c r="G38" s="67" t="s">
        <v>46</v>
      </c>
      <c r="H38" s="38">
        <v>4.4728659999999998</v>
      </c>
      <c r="I38" s="70">
        <f>H30*SQRT(H38)</f>
        <v>1.969243800957109E-2</v>
      </c>
      <c r="J38" s="5"/>
      <c r="K38" s="5"/>
      <c r="L38" s="5"/>
      <c r="M38" s="55"/>
      <c r="Q38" s="103">
        <f>ABS(Q36)+ABS(Q37)</f>
        <v>8.6448999999999998</v>
      </c>
      <c r="V38" s="87"/>
      <c r="W38" s="88">
        <v>45658</v>
      </c>
      <c r="X38" s="89">
        <v>0</v>
      </c>
      <c r="Y38">
        <v>3</v>
      </c>
      <c r="Z38" s="56">
        <v>-2.6236000000000002</v>
      </c>
      <c r="AA38" s="56">
        <v>-1.5082E-2</v>
      </c>
      <c r="AB38" s="34">
        <v>0</v>
      </c>
    </row>
    <row r="39" spans="1:28">
      <c r="A39" s="20"/>
      <c r="B39" s="71"/>
      <c r="C39" s="103">
        <f>SUM(C37:C38)</f>
        <v>8.6449099999999994</v>
      </c>
      <c r="D39" s="5"/>
      <c r="E39" s="47"/>
      <c r="F39" s="55"/>
      <c r="G39" s="71"/>
      <c r="H39" s="72">
        <f>SUM(H37:H38)</f>
        <v>8.6404199999999989</v>
      </c>
      <c r="I39" s="69"/>
      <c r="J39" s="5"/>
      <c r="K39" s="5"/>
      <c r="L39" s="5"/>
      <c r="M39" s="55"/>
      <c r="V39" s="55"/>
      <c r="W39" s="88">
        <v>45658</v>
      </c>
      <c r="X39" s="89">
        <v>0</v>
      </c>
      <c r="Y39">
        <v>4</v>
      </c>
      <c r="Z39" s="56">
        <v>-1.7591000000000001</v>
      </c>
      <c r="AA39" s="56">
        <v>-1.2349000000000001E-2</v>
      </c>
      <c r="AB39" s="34">
        <v>0</v>
      </c>
    </row>
    <row r="40" spans="1:28">
      <c r="B40" s="26" t="s">
        <v>55</v>
      </c>
      <c r="C40" s="51">
        <f>(C39-C19)/(C39+C19)</f>
        <v>3.954689297588472E-7</v>
      </c>
      <c r="D40" s="25"/>
      <c r="E40" s="33"/>
      <c r="F40" s="55"/>
      <c r="G40" s="26" t="s">
        <v>55</v>
      </c>
      <c r="H40" s="51">
        <f>(H39-H19)/(H39+H19)</f>
        <v>-6.9424072428409854E-7</v>
      </c>
      <c r="I40" s="27"/>
      <c r="M40" s="55"/>
      <c r="V40" s="55"/>
      <c r="W40" s="88">
        <v>45658</v>
      </c>
      <c r="X40" s="89">
        <v>0</v>
      </c>
      <c r="Y40">
        <v>5</v>
      </c>
      <c r="Z40" s="56">
        <v>-0.89463000000000004</v>
      </c>
      <c r="AA40" s="56">
        <v>-8.8068E-3</v>
      </c>
      <c r="AB40" s="34">
        <v>0</v>
      </c>
    </row>
    <row r="41" spans="1:28">
      <c r="E41" s="34"/>
      <c r="F41" s="55"/>
      <c r="M41" s="55"/>
      <c r="V41" s="55"/>
      <c r="W41" s="88">
        <v>45658</v>
      </c>
      <c r="X41" s="89">
        <v>0</v>
      </c>
      <c r="Y41">
        <v>6</v>
      </c>
      <c r="Z41" s="56">
        <v>-3.0143E-2</v>
      </c>
      <c r="AA41" s="56">
        <v>-1.6165999999999999E-3</v>
      </c>
      <c r="AB41" s="34">
        <v>0</v>
      </c>
    </row>
    <row r="42" spans="1:28">
      <c r="V42" s="55"/>
      <c r="W42" s="88">
        <v>45658</v>
      </c>
      <c r="X42" s="89">
        <v>0</v>
      </c>
      <c r="Y42">
        <v>7</v>
      </c>
      <c r="Z42" s="56">
        <v>0.83435000000000004</v>
      </c>
      <c r="AA42" s="56">
        <v>8.8108000000000006E-3</v>
      </c>
      <c r="AB42" s="34">
        <v>0</v>
      </c>
    </row>
    <row r="43" spans="1:28">
      <c r="V43" s="55"/>
      <c r="W43" s="88">
        <v>45658</v>
      </c>
      <c r="X43" s="89">
        <v>0</v>
      </c>
      <c r="Y43">
        <v>8</v>
      </c>
      <c r="Z43" s="56">
        <v>1.6988000000000001</v>
      </c>
      <c r="AA43" s="56">
        <v>1.2572E-2</v>
      </c>
      <c r="AB43" s="34">
        <v>0</v>
      </c>
    </row>
    <row r="44" spans="1:28">
      <c r="V44" s="55"/>
      <c r="W44" s="88">
        <v>45658</v>
      </c>
      <c r="X44" s="89">
        <v>0</v>
      </c>
      <c r="Y44">
        <v>9</v>
      </c>
      <c r="Z44" s="56">
        <v>2.5632999999999999</v>
      </c>
      <c r="AA44" s="56">
        <v>1.5443E-2</v>
      </c>
      <c r="AB44" s="34">
        <v>0</v>
      </c>
    </row>
    <row r="45" spans="1:28">
      <c r="V45" s="55"/>
      <c r="W45" s="88">
        <v>45658</v>
      </c>
      <c r="X45" s="89">
        <v>0</v>
      </c>
      <c r="Y45">
        <v>10</v>
      </c>
      <c r="Z45" s="56">
        <v>3.4278</v>
      </c>
      <c r="AA45" s="56">
        <v>1.7859E-2</v>
      </c>
      <c r="AB45" s="34">
        <v>0</v>
      </c>
    </row>
    <row r="46" spans="1:28">
      <c r="V46" s="55"/>
      <c r="W46" s="88">
        <v>45658</v>
      </c>
      <c r="X46" s="89">
        <v>0</v>
      </c>
      <c r="Y46">
        <v>11</v>
      </c>
      <c r="Z46" s="56">
        <v>4.2923</v>
      </c>
      <c r="AA46" s="56">
        <v>1.9983999999999998E-2</v>
      </c>
      <c r="AB46" s="34">
        <v>0</v>
      </c>
    </row>
    <row r="47" spans="1:28">
      <c r="Z47" s="28">
        <f>ABS(Z36)+ABS(Z46)</f>
        <v>8.6448999999999998</v>
      </c>
    </row>
    <row r="49" spans="2:2">
      <c r="B49" s="53"/>
    </row>
    <row r="50" spans="2:2">
      <c r="B50" s="53"/>
    </row>
    <row r="51" spans="2:2">
      <c r="B51" s="53"/>
    </row>
  </sheetData>
  <mergeCells count="5">
    <mergeCell ref="B5:E5"/>
    <mergeCell ref="G5:L5"/>
    <mergeCell ref="N5:U5"/>
    <mergeCell ref="W5:AJ5"/>
    <mergeCell ref="W34:AB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airnet-stack1.prj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Dols</dc:creator>
  <cp:lastModifiedBy>Dols, William Stuart (Fed)</cp:lastModifiedBy>
  <dcterms:created xsi:type="dcterms:W3CDTF">2012-05-23T18:52:29Z</dcterms:created>
  <dcterms:modified xsi:type="dcterms:W3CDTF">2025-06-12T18:53:44Z</dcterms:modified>
</cp:coreProperties>
</file>